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obligation\Share\229\Ashxatanqain\Ջանջուղազյան և Զարգարյան\Հրապարակման\2024\"/>
    </mc:Choice>
  </mc:AlternateContent>
  <bookViews>
    <workbookView xWindow="0" yWindow="0" windowWidth="28800" windowHeight="11505" firstSheet="8" activeTab="8"/>
  </bookViews>
  <sheets>
    <sheet name="հունվար" sheetId="25" state="hidden" r:id="rId1"/>
    <sheet name="փետրվար" sheetId="26" state="hidden" r:id="rId2"/>
    <sheet name="մարտ" sheetId="28" state="hidden" r:id="rId3"/>
    <sheet name="ապրիլ" sheetId="27" state="hidden" r:id="rId4"/>
    <sheet name="մայիս" sheetId="29" state="hidden" r:id="rId5"/>
    <sheet name="հունիս" sheetId="31" state="hidden" r:id="rId6"/>
    <sheet name="հուլիս" sheetId="32" state="hidden" r:id="rId7"/>
    <sheet name="օգոստոս" sheetId="33" state="hidden" r:id="rId8"/>
    <sheet name="սեպտեմբեր" sheetId="35" r:id="rId9"/>
    <sheet name="բյուջետային երաշխիք" sheetId="3" r:id="rId10"/>
    <sheet name="Government Guarantees" sheetId="20" r:id="rId11"/>
  </sheets>
  <externalReferences>
    <externalReference r:id="rId12"/>
    <externalReference r:id="rId13"/>
  </externalReferences>
  <definedNames>
    <definedName name="A4563g">#REF!</definedName>
    <definedName name="aaa" localSheetId="3">#REF!</definedName>
    <definedName name="aaa" localSheetId="8">#REF!</definedName>
    <definedName name="aaa" localSheetId="1">#REF!</definedName>
    <definedName name="aaa" localSheetId="7">#REF!</definedName>
    <definedName name="aaa">#REF!</definedName>
    <definedName name="aaaa" localSheetId="3">#REF!</definedName>
    <definedName name="aaaa" localSheetId="8">#REF!</definedName>
    <definedName name="aaaa" localSheetId="7">#REF!</definedName>
    <definedName name="aaaa">#REF!</definedName>
    <definedName name="Aghh" localSheetId="7">#REF!</definedName>
    <definedName name="Aghh">#REF!</definedName>
    <definedName name="ap8il1" localSheetId="8">#REF!</definedName>
    <definedName name="ap8il1" localSheetId="7">#REF!</definedName>
    <definedName name="ap8il1">#REF!</definedName>
    <definedName name="april" localSheetId="8">#REF!</definedName>
    <definedName name="april" localSheetId="7">#REF!</definedName>
    <definedName name="april">#REF!</definedName>
    <definedName name="fgd" localSheetId="3">#REF!</definedName>
    <definedName name="fgd" localSheetId="8">#REF!</definedName>
    <definedName name="fgd" localSheetId="7">#REF!</definedName>
    <definedName name="fgd">#REF!</definedName>
    <definedName name="fhyj" localSheetId="3">#REF!</definedName>
    <definedName name="fhyj" localSheetId="8">#REF!</definedName>
    <definedName name="fhyj" localSheetId="7">#REF!</definedName>
    <definedName name="fhyj">#REF!</definedName>
    <definedName name="fhyj1" localSheetId="8">#REF!</definedName>
    <definedName name="fhyj1">#REF!</definedName>
    <definedName name="ggg" localSheetId="3">#REF!</definedName>
    <definedName name="ggg" localSheetId="8">#REF!</definedName>
    <definedName name="ggg" localSheetId="1">#REF!</definedName>
    <definedName name="ggg" localSheetId="7">#REF!</definedName>
    <definedName name="ggg">#REF!</definedName>
    <definedName name="hjf" localSheetId="3">#REF!</definedName>
    <definedName name="hjf" localSheetId="8">#REF!</definedName>
    <definedName name="hjf" localSheetId="1">#REF!</definedName>
    <definedName name="hjf" localSheetId="7">#REF!</definedName>
    <definedName name="hjf">#REF!</definedName>
    <definedName name="Hulios1" localSheetId="8">#REF!</definedName>
    <definedName name="Hulios1">#REF!</definedName>
    <definedName name="hulis" localSheetId="8">#REF!</definedName>
    <definedName name="hulis">#REF!</definedName>
    <definedName name="hunvar" localSheetId="3">#REF!</definedName>
    <definedName name="hunvar" localSheetId="8">#REF!</definedName>
    <definedName name="hunvar" localSheetId="1">#REF!</definedName>
    <definedName name="hunvar" localSheetId="7">#REF!</definedName>
    <definedName name="hunvar">#REF!</definedName>
    <definedName name="kkk" localSheetId="3">#REF!</definedName>
    <definedName name="kkk" localSheetId="8">#REF!</definedName>
    <definedName name="kkk" localSheetId="1">#REF!</definedName>
    <definedName name="kkk" localSheetId="7">#REF!</definedName>
    <definedName name="kkk">#REF!</definedName>
    <definedName name="Lus" localSheetId="3">#REF!</definedName>
    <definedName name="Lus" localSheetId="8">#REF!</definedName>
    <definedName name="Lus" localSheetId="1">#REF!</definedName>
    <definedName name="Lus" localSheetId="7">#REF!</definedName>
    <definedName name="Lus">#REF!</definedName>
    <definedName name="Lusine" localSheetId="3">#REF!</definedName>
    <definedName name="Lusine" localSheetId="8">#REF!</definedName>
    <definedName name="Lusine" localSheetId="1">#REF!</definedName>
    <definedName name="Lusine" localSheetId="7">#REF!</definedName>
    <definedName name="Lusine">#REF!</definedName>
    <definedName name="Lusine1" localSheetId="3">#REF!</definedName>
    <definedName name="Lusine1" localSheetId="8">#REF!</definedName>
    <definedName name="Lusine1" localSheetId="1">#REF!</definedName>
    <definedName name="Lusine1" localSheetId="7">#REF!</definedName>
    <definedName name="Lusine1">#REF!</definedName>
    <definedName name="petrvar" localSheetId="3">#REF!</definedName>
    <definedName name="petrvar" localSheetId="8">#REF!</definedName>
    <definedName name="petrvar" localSheetId="7">#REF!</definedName>
    <definedName name="petrvar">#REF!</definedName>
    <definedName name="print" localSheetId="10">#REF!</definedName>
    <definedName name="print" localSheetId="7">#REF!</definedName>
    <definedName name="print">#REF!</definedName>
    <definedName name="rrr" localSheetId="3">#REF!</definedName>
    <definedName name="rrr" localSheetId="8">#REF!</definedName>
    <definedName name="rrr" localSheetId="1">#REF!</definedName>
    <definedName name="rrr" localSheetId="7">#REF!</definedName>
    <definedName name="rrr">#REF!</definedName>
    <definedName name="Table1" localSheetId="3">#REF!</definedName>
    <definedName name="Table1" localSheetId="8">#REF!</definedName>
    <definedName name="Table1" localSheetId="1">#REF!</definedName>
    <definedName name="Table1" localSheetId="7">#REF!</definedName>
    <definedName name="Table1">#REF!</definedName>
    <definedName name="Table2" localSheetId="3">#REF!</definedName>
    <definedName name="Table2" localSheetId="8">#REF!</definedName>
    <definedName name="Table2" localSheetId="1">#REF!</definedName>
    <definedName name="Table2" localSheetId="7">#REF!</definedName>
    <definedName name="Table2">#REF!</definedName>
    <definedName name="uuu" localSheetId="3">#REF!</definedName>
    <definedName name="uuu" localSheetId="8">#REF!</definedName>
    <definedName name="uuu" localSheetId="1">#REF!</definedName>
    <definedName name="uuu" localSheetId="7">#REF!</definedName>
    <definedName name="uuu">#REF!</definedName>
    <definedName name="vff">#REF!</definedName>
    <definedName name="vlom" localSheetId="10">[1]VTB!#REF!</definedName>
    <definedName name="vlom" localSheetId="7">[1]VTB!#REF!</definedName>
    <definedName name="vlom">[1]VTB!#REF!</definedName>
    <definedName name="ամառ" localSheetId="3">#REF!</definedName>
    <definedName name="ամառ" localSheetId="8">#REF!</definedName>
    <definedName name="ամառ" localSheetId="1">#REF!</definedName>
    <definedName name="ամառ" localSheetId="7">#REF!</definedName>
    <definedName name="ամառ">#REF!</definedName>
    <definedName name="ապրիլ" localSheetId="3">#REF!</definedName>
    <definedName name="ապրիլ" localSheetId="8">#REF!</definedName>
    <definedName name="ապրիլ" localSheetId="1">#REF!</definedName>
    <definedName name="ապրիլ" localSheetId="7">#REF!</definedName>
    <definedName name="ապրիլ">#REF!</definedName>
    <definedName name="եեեե" localSheetId="3">#REF!</definedName>
    <definedName name="եեեե" localSheetId="8">#REF!</definedName>
    <definedName name="եեեե" localSheetId="7">#REF!</definedName>
    <definedName name="եեեե">#REF!</definedName>
    <definedName name="լուսինե" localSheetId="3">#REF!</definedName>
    <definedName name="լուսինե" localSheetId="8">#REF!</definedName>
    <definedName name="լուսինե" localSheetId="7">#REF!</definedName>
    <definedName name="լուսինե">#REF!</definedName>
    <definedName name="հդհդհ" localSheetId="8">#REF!</definedName>
    <definedName name="հդհդհ">#REF!</definedName>
    <definedName name="հուլիս" localSheetId="3">#REF!</definedName>
    <definedName name="հուլիս" localSheetId="8">#REF!</definedName>
    <definedName name="հուլիս" localSheetId="1">#REF!</definedName>
    <definedName name="հուլիս" localSheetId="7">#REF!</definedName>
    <definedName name="հուլիս">#REF!</definedName>
    <definedName name="հունիս" localSheetId="3">#REF!</definedName>
    <definedName name="հունիս" localSheetId="8">#REF!</definedName>
    <definedName name="հունիս" localSheetId="1">#REF!</definedName>
    <definedName name="հունիս" localSheetId="7">#REF!</definedName>
    <definedName name="հունիս">#REF!</definedName>
    <definedName name="հֆգյֆ" localSheetId="3">#REF!</definedName>
    <definedName name="հֆգյֆ" localSheetId="8">#REF!</definedName>
    <definedName name="հֆգյֆ" localSheetId="1">#REF!</definedName>
    <definedName name="հֆգյֆ" localSheetId="7">#REF!</definedName>
    <definedName name="հֆգյֆ">#REF!</definedName>
    <definedName name="ձմեռ" localSheetId="3">#REF!</definedName>
    <definedName name="ձմեռ" localSheetId="8">#REF!</definedName>
    <definedName name="ձմեռ" localSheetId="7">#REF!</definedName>
    <definedName name="ձմեռ">#REF!</definedName>
    <definedName name="յգհյհ" localSheetId="7">#REF!</definedName>
    <definedName name="յգհյհ">#REF!</definedName>
    <definedName name="նոյեմբեր4" localSheetId="3">#REF!</definedName>
    <definedName name="նոյեմբեր4" localSheetId="8">#REF!</definedName>
    <definedName name="նոյեմբեր4" localSheetId="1">#REF!</definedName>
    <definedName name="նոյեմբեր4" localSheetId="7">#REF!</definedName>
    <definedName name="նոյեմբեր4">#REF!</definedName>
    <definedName name="սեպտեմբեր" localSheetId="3">#REF!</definedName>
    <definedName name="սեպտեմբեր" localSheetId="8">#REF!</definedName>
    <definedName name="սեպտեմբեր" localSheetId="1">#REF!</definedName>
    <definedName name="սեպտեմբեր" localSheetId="7">#REF!</definedName>
    <definedName name="սեպտեմբեր">#REF!</definedName>
    <definedName name="օգոտոս" localSheetId="8">#REF!</definedName>
    <definedName name="օգոտոս">#REF!</definedName>
    <definedName name="օգօստօս" localSheetId="3">#REF!</definedName>
    <definedName name="օգօստօս" localSheetId="8">#REF!</definedName>
    <definedName name="օգօստօս" localSheetId="1">#REF!</definedName>
    <definedName name="օգօստօս" localSheetId="7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35" l="1"/>
  <c r="J144" i="35"/>
  <c r="L143" i="35"/>
  <c r="L142" i="35"/>
  <c r="L141" i="35"/>
  <c r="L140" i="35"/>
  <c r="L139" i="35"/>
  <c r="J138" i="35"/>
  <c r="J137" i="35"/>
  <c r="M135" i="35"/>
  <c r="J135" i="35"/>
  <c r="O134" i="35"/>
  <c r="O133" i="35"/>
  <c r="N133" i="35"/>
  <c r="N132" i="35"/>
  <c r="M132" i="35"/>
  <c r="O132" i="35" s="1"/>
  <c r="O131" i="35"/>
  <c r="N131" i="35"/>
  <c r="O130" i="35"/>
  <c r="N130" i="35"/>
  <c r="O129" i="35"/>
  <c r="N129" i="35"/>
  <c r="N128" i="35"/>
  <c r="M128" i="35"/>
  <c r="O128" i="35" s="1"/>
  <c r="N127" i="35"/>
  <c r="O127" i="35" s="1"/>
  <c r="M127" i="35"/>
  <c r="N126" i="35"/>
  <c r="K126" i="35"/>
  <c r="O126" i="35" s="1"/>
  <c r="O125" i="35"/>
  <c r="N125" i="35"/>
  <c r="N124" i="35"/>
  <c r="M124" i="35"/>
  <c r="O124" i="35" s="1"/>
  <c r="K124" i="35"/>
  <c r="J124" i="35"/>
  <c r="N123" i="35"/>
  <c r="M123" i="35"/>
  <c r="O123" i="35" s="1"/>
  <c r="O122" i="35"/>
  <c r="N122" i="35"/>
  <c r="N121" i="35"/>
  <c r="M121" i="35"/>
  <c r="K121" i="35"/>
  <c r="O120" i="35"/>
  <c r="N120" i="35"/>
  <c r="O119" i="35"/>
  <c r="N119" i="35"/>
  <c r="O118" i="35"/>
  <c r="K117" i="35"/>
  <c r="O117" i="35" s="1"/>
  <c r="J117" i="35"/>
  <c r="N116" i="35"/>
  <c r="M116" i="35"/>
  <c r="O116" i="35" s="1"/>
  <c r="O115" i="35"/>
  <c r="N114" i="35"/>
  <c r="M114" i="35"/>
  <c r="O113" i="35"/>
  <c r="O138" i="35" s="1"/>
  <c r="N113" i="35"/>
  <c r="N138" i="35" s="1"/>
  <c r="M113" i="35"/>
  <c r="M138" i="35" s="1"/>
  <c r="K113" i="35"/>
  <c r="K138" i="35" s="1"/>
  <c r="J113" i="35"/>
  <c r="O112" i="35"/>
  <c r="O137" i="35" s="1"/>
  <c r="N112" i="35"/>
  <c r="N137" i="35" s="1"/>
  <c r="M112" i="35"/>
  <c r="M137" i="35" s="1"/>
  <c r="K112" i="35"/>
  <c r="K137" i="35" s="1"/>
  <c r="J112" i="35"/>
  <c r="O110" i="35"/>
  <c r="O135" i="35" s="1"/>
  <c r="N110" i="35"/>
  <c r="N135" i="35" s="1"/>
  <c r="M110" i="35"/>
  <c r="K110" i="35"/>
  <c r="K135" i="35" s="1"/>
  <c r="J110" i="35"/>
  <c r="N109" i="35"/>
  <c r="M109" i="35"/>
  <c r="K109" i="35"/>
  <c r="J109" i="35"/>
  <c r="O108" i="35"/>
  <c r="O107" i="35"/>
  <c r="N107" i="35"/>
  <c r="O106" i="35"/>
  <c r="N106" i="35"/>
  <c r="O105" i="35"/>
  <c r="N105" i="35"/>
  <c r="M104" i="35"/>
  <c r="O104" i="35" s="1"/>
  <c r="J104" i="35"/>
  <c r="O103" i="35"/>
  <c r="N103" i="35"/>
  <c r="M103" i="35"/>
  <c r="K103" i="35"/>
  <c r="J103" i="35"/>
  <c r="K102" i="35"/>
  <c r="J102" i="35"/>
  <c r="J101" i="35"/>
  <c r="O99" i="35"/>
  <c r="N99" i="35"/>
  <c r="O98" i="35"/>
  <c r="N98" i="35"/>
  <c r="O97" i="35"/>
  <c r="O96" i="35"/>
  <c r="N95" i="35"/>
  <c r="M95" i="35"/>
  <c r="O95" i="35" s="1"/>
  <c r="O94" i="35"/>
  <c r="O93" i="35"/>
  <c r="O92" i="35"/>
  <c r="O91" i="35"/>
  <c r="N90" i="35"/>
  <c r="J90" i="35"/>
  <c r="N89" i="35"/>
  <c r="M89" i="35"/>
  <c r="O89" i="35" s="1"/>
  <c r="O88" i="35"/>
  <c r="N88" i="35"/>
  <c r="N87" i="35"/>
  <c r="M87" i="35"/>
  <c r="O87" i="35" s="1"/>
  <c r="N86" i="35"/>
  <c r="M86" i="35"/>
  <c r="O86" i="35" s="1"/>
  <c r="N85" i="35"/>
  <c r="M85" i="35"/>
  <c r="O85" i="35" s="1"/>
  <c r="N84" i="35"/>
  <c r="M84" i="35"/>
  <c r="O84" i="35" s="1"/>
  <c r="O83" i="35"/>
  <c r="K82" i="35"/>
  <c r="O82" i="35" s="1"/>
  <c r="O81" i="35"/>
  <c r="O80" i="35"/>
  <c r="O79" i="35"/>
  <c r="N78" i="35"/>
  <c r="M78" i="35"/>
  <c r="O78" i="35" s="1"/>
  <c r="N77" i="35"/>
  <c r="M77" i="35"/>
  <c r="O77" i="35" s="1"/>
  <c r="K76" i="35"/>
  <c r="K101" i="35" s="1"/>
  <c r="K75" i="35"/>
  <c r="O75" i="35" s="1"/>
  <c r="O74" i="35"/>
  <c r="N73" i="35"/>
  <c r="M73" i="35"/>
  <c r="M100" i="35" s="1"/>
  <c r="N72" i="35"/>
  <c r="M72" i="35"/>
  <c r="O72" i="35" s="1"/>
  <c r="O71" i="35"/>
  <c r="N71" i="35"/>
  <c r="M71" i="35"/>
  <c r="K71" i="35"/>
  <c r="J71" i="35"/>
  <c r="K70" i="35"/>
  <c r="J70" i="35"/>
  <c r="K69" i="35"/>
  <c r="J69" i="35"/>
  <c r="K68" i="35"/>
  <c r="J68" i="35"/>
  <c r="O67" i="35"/>
  <c r="N67" i="35"/>
  <c r="O66" i="35"/>
  <c r="N66" i="35"/>
  <c r="M66" i="35"/>
  <c r="N65" i="35"/>
  <c r="M65" i="35"/>
  <c r="O65" i="35" s="1"/>
  <c r="N64" i="35"/>
  <c r="M64" i="35"/>
  <c r="N63" i="35"/>
  <c r="N68" i="35" s="1"/>
  <c r="M63" i="35"/>
  <c r="O63" i="35" s="1"/>
  <c r="O62" i="35"/>
  <c r="N61" i="35"/>
  <c r="M61" i="35"/>
  <c r="O60" i="35"/>
  <c r="N60" i="35"/>
  <c r="M60" i="35"/>
  <c r="K60" i="35"/>
  <c r="J60" i="35"/>
  <c r="O59" i="35"/>
  <c r="N59" i="35"/>
  <c r="M59" i="35"/>
  <c r="K59" i="35"/>
  <c r="J59" i="35"/>
  <c r="K58" i="35"/>
  <c r="J58" i="35"/>
  <c r="K57" i="35"/>
  <c r="J57" i="35"/>
  <c r="N56" i="35"/>
  <c r="M56" i="35"/>
  <c r="O56" i="35" s="1"/>
  <c r="N55" i="35"/>
  <c r="M55" i="35"/>
  <c r="O55" i="35" s="1"/>
  <c r="N54" i="35"/>
  <c r="M54" i="35"/>
  <c r="O54" i="35" s="1"/>
  <c r="N53" i="35"/>
  <c r="M53" i="35"/>
  <c r="N52" i="35"/>
  <c r="M52" i="35"/>
  <c r="O52" i="35" s="1"/>
  <c r="O51" i="35"/>
  <c r="N51" i="35"/>
  <c r="M51" i="35"/>
  <c r="K50" i="35"/>
  <c r="K143" i="35" s="1"/>
  <c r="J50" i="35"/>
  <c r="J143" i="35" s="1"/>
  <c r="K49" i="35"/>
  <c r="J49" i="35"/>
  <c r="K48" i="35"/>
  <c r="J47" i="35"/>
  <c r="J46" i="35"/>
  <c r="O45" i="35"/>
  <c r="N45" i="35"/>
  <c r="O44" i="35"/>
  <c r="N44" i="35"/>
  <c r="N43" i="35"/>
  <c r="M43" i="35"/>
  <c r="K43" i="35"/>
  <c r="N42" i="35"/>
  <c r="M42" i="35"/>
  <c r="O42" i="35" s="1"/>
  <c r="O41" i="35"/>
  <c r="N41" i="35"/>
  <c r="M41" i="35"/>
  <c r="N40" i="35"/>
  <c r="M40" i="35"/>
  <c r="O40" i="35" s="1"/>
  <c r="N39" i="35"/>
  <c r="M39" i="35"/>
  <c r="O39" i="35" s="1"/>
  <c r="N38" i="35"/>
  <c r="M38" i="35"/>
  <c r="O38" i="35" s="1"/>
  <c r="N37" i="35"/>
  <c r="M37" i="35"/>
  <c r="O37" i="35" s="1"/>
  <c r="N36" i="35"/>
  <c r="M36" i="35"/>
  <c r="O36" i="35" s="1"/>
  <c r="N35" i="35"/>
  <c r="M35" i="35"/>
  <c r="O35" i="35" s="1"/>
  <c r="N34" i="35"/>
  <c r="M34" i="35"/>
  <c r="O34" i="35" s="1"/>
  <c r="N33" i="35"/>
  <c r="M33" i="35"/>
  <c r="O33" i="35" s="1"/>
  <c r="N32" i="35"/>
  <c r="M32" i="35"/>
  <c r="O32" i="35" s="1"/>
  <c r="N31" i="35"/>
  <c r="M31" i="35"/>
  <c r="O31" i="35" s="1"/>
  <c r="N30" i="35"/>
  <c r="M30" i="35"/>
  <c r="O30" i="35" s="1"/>
  <c r="N29" i="35"/>
  <c r="M29" i="35"/>
  <c r="N28" i="35"/>
  <c r="M28" i="35"/>
  <c r="O28" i="35" s="1"/>
  <c r="N27" i="35"/>
  <c r="M27" i="35"/>
  <c r="O27" i="35" s="1"/>
  <c r="N26" i="35"/>
  <c r="M26" i="35"/>
  <c r="O26" i="35" s="1"/>
  <c r="N25" i="35"/>
  <c r="M25" i="35"/>
  <c r="O25" i="35" s="1"/>
  <c r="N24" i="35"/>
  <c r="M24" i="35"/>
  <c r="O24" i="35" s="1"/>
  <c r="N23" i="35"/>
  <c r="N50" i="35" s="1"/>
  <c r="N143" i="35" s="1"/>
  <c r="M23" i="35"/>
  <c r="O23" i="35" s="1"/>
  <c r="O22" i="35"/>
  <c r="N22" i="35"/>
  <c r="O21" i="35"/>
  <c r="N21" i="35"/>
  <c r="N20" i="35"/>
  <c r="K20" i="35"/>
  <c r="O20" i="35" s="1"/>
  <c r="O19" i="35"/>
  <c r="N19" i="35"/>
  <c r="N18" i="35"/>
  <c r="M18" i="35"/>
  <c r="O18" i="35" s="1"/>
  <c r="N17" i="35"/>
  <c r="M17" i="35"/>
  <c r="O17" i="35" s="1"/>
  <c r="J17" i="35"/>
  <c r="N16" i="35"/>
  <c r="M16" i="35"/>
  <c r="O16" i="35" s="1"/>
  <c r="N15" i="35"/>
  <c r="M15" i="35"/>
  <c r="O15" i="35" s="1"/>
  <c r="J15" i="35"/>
  <c r="J48" i="35" s="1"/>
  <c r="J141" i="35" s="1"/>
  <c r="O14" i="35"/>
  <c r="O13" i="35"/>
  <c r="N13" i="35"/>
  <c r="O12" i="35"/>
  <c r="O11" i="35"/>
  <c r="O10" i="35"/>
  <c r="N10" i="35"/>
  <c r="N9" i="35"/>
  <c r="K9" i="35"/>
  <c r="O9" i="35" s="1"/>
  <c r="O8" i="35"/>
  <c r="N8" i="35"/>
  <c r="N7" i="35"/>
  <c r="M7" i="35"/>
  <c r="O7" i="35" s="1"/>
  <c r="N6" i="35"/>
  <c r="M6" i="35"/>
  <c r="O6" i="35" s="1"/>
  <c r="N5" i="35"/>
  <c r="M5" i="35"/>
  <c r="K5" i="35"/>
  <c r="K46" i="35" l="1"/>
  <c r="O109" i="35"/>
  <c r="O111" i="35" s="1"/>
  <c r="N47" i="35"/>
  <c r="K111" i="35"/>
  <c r="O121" i="35"/>
  <c r="N100" i="35"/>
  <c r="N48" i="35"/>
  <c r="M57" i="35"/>
  <c r="J111" i="35"/>
  <c r="M49" i="35"/>
  <c r="M142" i="35" s="1"/>
  <c r="N57" i="35"/>
  <c r="M58" i="35"/>
  <c r="N70" i="35"/>
  <c r="N46" i="35"/>
  <c r="N49" i="35"/>
  <c r="N142" i="35" s="1"/>
  <c r="O43" i="35"/>
  <c r="O47" i="35" s="1"/>
  <c r="K47" i="35"/>
  <c r="M50" i="35"/>
  <c r="M143" i="35" s="1"/>
  <c r="N58" i="35"/>
  <c r="N101" i="35"/>
  <c r="M101" i="35"/>
  <c r="O29" i="35"/>
  <c r="O49" i="35" s="1"/>
  <c r="O142" i="35" s="1"/>
  <c r="O53" i="35"/>
  <c r="N69" i="35"/>
  <c r="M70" i="35"/>
  <c r="O68" i="35"/>
  <c r="N102" i="35"/>
  <c r="O73" i="35"/>
  <c r="N111" i="35"/>
  <c r="N136" i="35"/>
  <c r="O144" i="35"/>
  <c r="J142" i="35"/>
  <c r="M46" i="35"/>
  <c r="O76" i="35"/>
  <c r="O101" i="35" s="1"/>
  <c r="O48" i="35"/>
  <c r="O50" i="35"/>
  <c r="O143" i="35" s="1"/>
  <c r="O57" i="35"/>
  <c r="K90" i="35"/>
  <c r="O90" i="35" s="1"/>
  <c r="O102" i="35"/>
  <c r="M48" i="35"/>
  <c r="M47" i="35"/>
  <c r="K141" i="35"/>
  <c r="O58" i="35"/>
  <c r="M111" i="35"/>
  <c r="J136" i="35"/>
  <c r="J140" i="35" s="1"/>
  <c r="O5" i="35"/>
  <c r="K142" i="35"/>
  <c r="M69" i="35"/>
  <c r="O61" i="35"/>
  <c r="O64" i="35"/>
  <c r="M68" i="35"/>
  <c r="M102" i="35"/>
  <c r="K100" i="35"/>
  <c r="K139" i="35" s="1"/>
  <c r="O114" i="35"/>
  <c r="M136" i="35"/>
  <c r="K136" i="35"/>
  <c r="K140" i="35" s="1"/>
  <c r="J100" i="35"/>
  <c r="J139" i="35" s="1"/>
  <c r="K148" i="33"/>
  <c r="J148" i="33"/>
  <c r="L147" i="33"/>
  <c r="L146" i="33"/>
  <c r="L145" i="33"/>
  <c r="L144" i="33"/>
  <c r="L143" i="33"/>
  <c r="J142" i="33"/>
  <c r="J141" i="33"/>
  <c r="M139" i="33"/>
  <c r="J139" i="33"/>
  <c r="O138" i="33"/>
  <c r="N138" i="33"/>
  <c r="M138" i="33"/>
  <c r="N137" i="33"/>
  <c r="M137" i="33"/>
  <c r="O137" i="33" s="1"/>
  <c r="O136" i="33"/>
  <c r="N136" i="33"/>
  <c r="O135" i="33"/>
  <c r="O134" i="33"/>
  <c r="O133" i="33"/>
  <c r="N133" i="33"/>
  <c r="N132" i="33"/>
  <c r="M132" i="33"/>
  <c r="O132" i="33" s="1"/>
  <c r="O131" i="33"/>
  <c r="N131" i="33"/>
  <c r="O130" i="33"/>
  <c r="N130" i="33"/>
  <c r="O129" i="33"/>
  <c r="N129" i="33"/>
  <c r="O128" i="33"/>
  <c r="N128" i="33"/>
  <c r="M128" i="33"/>
  <c r="N127" i="33"/>
  <c r="O127" i="33" s="1"/>
  <c r="M127" i="33"/>
  <c r="N126" i="33"/>
  <c r="K126" i="33"/>
  <c r="O125" i="33"/>
  <c r="N125" i="33"/>
  <c r="N124" i="33"/>
  <c r="M124" i="33"/>
  <c r="K124" i="33"/>
  <c r="O124" i="33" s="1"/>
  <c r="J124" i="33"/>
  <c r="N123" i="33"/>
  <c r="M123" i="33"/>
  <c r="O123" i="33" s="1"/>
  <c r="O122" i="33"/>
  <c r="N122" i="33"/>
  <c r="N121" i="33"/>
  <c r="M121" i="33"/>
  <c r="K121" i="33"/>
  <c r="O120" i="33"/>
  <c r="N120" i="33"/>
  <c r="O119" i="33"/>
  <c r="N119" i="33"/>
  <c r="O118" i="33"/>
  <c r="K117" i="33"/>
  <c r="O117" i="33" s="1"/>
  <c r="J117" i="33"/>
  <c r="N116" i="33"/>
  <c r="M116" i="33"/>
  <c r="O116" i="33" s="1"/>
  <c r="O115" i="33"/>
  <c r="N114" i="33"/>
  <c r="M114" i="33"/>
  <c r="O114" i="33" s="1"/>
  <c r="O113" i="33"/>
  <c r="O142" i="33" s="1"/>
  <c r="N113" i="33"/>
  <c r="N142" i="33" s="1"/>
  <c r="M113" i="33"/>
  <c r="M142" i="33" s="1"/>
  <c r="K113" i="33"/>
  <c r="K142" i="33" s="1"/>
  <c r="J113" i="33"/>
  <c r="O112" i="33"/>
  <c r="O141" i="33" s="1"/>
  <c r="N112" i="33"/>
  <c r="N141" i="33" s="1"/>
  <c r="M112" i="33"/>
  <c r="M141" i="33" s="1"/>
  <c r="K112" i="33"/>
  <c r="K141" i="33" s="1"/>
  <c r="J112" i="33"/>
  <c r="O110" i="33"/>
  <c r="O139" i="33" s="1"/>
  <c r="N110" i="33"/>
  <c r="N139" i="33" s="1"/>
  <c r="M110" i="33"/>
  <c r="K110" i="33"/>
  <c r="K139" i="33" s="1"/>
  <c r="J110" i="33"/>
  <c r="N109" i="33"/>
  <c r="M109" i="33"/>
  <c r="K109" i="33"/>
  <c r="J109" i="33"/>
  <c r="O108" i="33"/>
  <c r="O107" i="33"/>
  <c r="N107" i="33"/>
  <c r="O106" i="33"/>
  <c r="N106" i="33"/>
  <c r="O105" i="33"/>
  <c r="N105" i="33"/>
  <c r="M104" i="33"/>
  <c r="O104" i="33" s="1"/>
  <c r="J104" i="33"/>
  <c r="J111" i="33" s="1"/>
  <c r="O103" i="33"/>
  <c r="N103" i="33"/>
  <c r="M103" i="33"/>
  <c r="K103" i="33"/>
  <c r="J103" i="33"/>
  <c r="K102" i="33"/>
  <c r="J102" i="33"/>
  <c r="J101" i="33"/>
  <c r="O99" i="33"/>
  <c r="N99" i="33"/>
  <c r="O98" i="33"/>
  <c r="N98" i="33"/>
  <c r="O97" i="33"/>
  <c r="O96" i="33"/>
  <c r="N95" i="33"/>
  <c r="M95" i="33"/>
  <c r="O95" i="33" s="1"/>
  <c r="O94" i="33"/>
  <c r="O93" i="33"/>
  <c r="O92" i="33"/>
  <c r="O91" i="33"/>
  <c r="N90" i="33"/>
  <c r="J90" i="33"/>
  <c r="K90" i="33" s="1"/>
  <c r="O90" i="33" s="1"/>
  <c r="N89" i="33"/>
  <c r="M89" i="33"/>
  <c r="O89" i="33" s="1"/>
  <c r="O88" i="33"/>
  <c r="N88" i="33"/>
  <c r="N87" i="33"/>
  <c r="M87" i="33"/>
  <c r="O87" i="33" s="1"/>
  <c r="N86" i="33"/>
  <c r="M86" i="33"/>
  <c r="O86" i="33" s="1"/>
  <c r="N85" i="33"/>
  <c r="M85" i="33"/>
  <c r="O85" i="33" s="1"/>
  <c r="N84" i="33"/>
  <c r="M84" i="33"/>
  <c r="O84" i="33" s="1"/>
  <c r="O83" i="33"/>
  <c r="K82" i="33"/>
  <c r="O82" i="33" s="1"/>
  <c r="O81" i="33"/>
  <c r="O80" i="33"/>
  <c r="O79" i="33"/>
  <c r="N78" i="33"/>
  <c r="M78" i="33"/>
  <c r="O78" i="33" s="1"/>
  <c r="N77" i="33"/>
  <c r="M77" i="33"/>
  <c r="K76" i="33"/>
  <c r="K75" i="33"/>
  <c r="K100" i="33" s="1"/>
  <c r="O74" i="33"/>
  <c r="N73" i="33"/>
  <c r="M73" i="33"/>
  <c r="M100" i="33" s="1"/>
  <c r="N72" i="33"/>
  <c r="M72" i="33"/>
  <c r="O72" i="33" s="1"/>
  <c r="O71" i="33"/>
  <c r="N71" i="33"/>
  <c r="M71" i="33"/>
  <c r="K71" i="33"/>
  <c r="J71" i="33"/>
  <c r="K70" i="33"/>
  <c r="J70" i="33"/>
  <c r="K69" i="33"/>
  <c r="J69" i="33"/>
  <c r="K68" i="33"/>
  <c r="J68" i="33"/>
  <c r="O67" i="33"/>
  <c r="N67" i="33"/>
  <c r="O66" i="33"/>
  <c r="N66" i="33"/>
  <c r="M66" i="33"/>
  <c r="N65" i="33"/>
  <c r="M65" i="33"/>
  <c r="O65" i="33" s="1"/>
  <c r="N64" i="33"/>
  <c r="N70" i="33" s="1"/>
  <c r="M64" i="33"/>
  <c r="O64" i="33" s="1"/>
  <c r="N63" i="33"/>
  <c r="N68" i="33" s="1"/>
  <c r="M63" i="33"/>
  <c r="O62" i="33"/>
  <c r="N61" i="33"/>
  <c r="M61" i="33"/>
  <c r="O60" i="33"/>
  <c r="N60" i="33"/>
  <c r="M60" i="33"/>
  <c r="K60" i="33"/>
  <c r="J60" i="33"/>
  <c r="O59" i="33"/>
  <c r="N59" i="33"/>
  <c r="M59" i="33"/>
  <c r="K59" i="33"/>
  <c r="J59" i="33"/>
  <c r="K58" i="33"/>
  <c r="J58" i="33"/>
  <c r="K57" i="33"/>
  <c r="J57" i="33"/>
  <c r="N56" i="33"/>
  <c r="M56" i="33"/>
  <c r="O56" i="33" s="1"/>
  <c r="N55" i="33"/>
  <c r="M55" i="33"/>
  <c r="O55" i="33" s="1"/>
  <c r="N54" i="33"/>
  <c r="M54" i="33"/>
  <c r="O54" i="33" s="1"/>
  <c r="N53" i="33"/>
  <c r="N58" i="33" s="1"/>
  <c r="M53" i="33"/>
  <c r="O53" i="33" s="1"/>
  <c r="N52" i="33"/>
  <c r="M52" i="33"/>
  <c r="O52" i="33" s="1"/>
  <c r="N51" i="33"/>
  <c r="M51" i="33"/>
  <c r="K50" i="33"/>
  <c r="K147" i="33" s="1"/>
  <c r="J50" i="33"/>
  <c r="J147" i="33" s="1"/>
  <c r="K49" i="33"/>
  <c r="J49" i="33"/>
  <c r="K48" i="33"/>
  <c r="J47" i="33"/>
  <c r="J46" i="33"/>
  <c r="O45" i="33"/>
  <c r="N45" i="33"/>
  <c r="O44" i="33"/>
  <c r="N44" i="33"/>
  <c r="N43" i="33"/>
  <c r="M43" i="33"/>
  <c r="K43" i="33"/>
  <c r="N42" i="33"/>
  <c r="M42" i="33"/>
  <c r="O42" i="33" s="1"/>
  <c r="N41" i="33"/>
  <c r="M41" i="33"/>
  <c r="O41" i="33" s="1"/>
  <c r="N40" i="33"/>
  <c r="M40" i="33"/>
  <c r="O40" i="33" s="1"/>
  <c r="N39" i="33"/>
  <c r="M39" i="33"/>
  <c r="O39" i="33" s="1"/>
  <c r="O38" i="33"/>
  <c r="N38" i="33"/>
  <c r="M38" i="33"/>
  <c r="N37" i="33"/>
  <c r="M37" i="33"/>
  <c r="O37" i="33" s="1"/>
  <c r="N36" i="33"/>
  <c r="M36" i="33"/>
  <c r="O36" i="33" s="1"/>
  <c r="N35" i="33"/>
  <c r="M35" i="33"/>
  <c r="O35" i="33" s="1"/>
  <c r="N34" i="33"/>
  <c r="M34" i="33"/>
  <c r="O34" i="33" s="1"/>
  <c r="N33" i="33"/>
  <c r="M33" i="33"/>
  <c r="O33" i="33" s="1"/>
  <c r="N32" i="33"/>
  <c r="M32" i="33"/>
  <c r="O32" i="33" s="1"/>
  <c r="N31" i="33"/>
  <c r="M31" i="33"/>
  <c r="O31" i="33" s="1"/>
  <c r="N30" i="33"/>
  <c r="M30" i="33"/>
  <c r="O30" i="33" s="1"/>
  <c r="N29" i="33"/>
  <c r="M29" i="33"/>
  <c r="O29" i="33" s="1"/>
  <c r="N28" i="33"/>
  <c r="M28" i="33"/>
  <c r="O28" i="33" s="1"/>
  <c r="N27" i="33"/>
  <c r="M27" i="33"/>
  <c r="O27" i="33" s="1"/>
  <c r="N26" i="33"/>
  <c r="M26" i="33"/>
  <c r="O26" i="33" s="1"/>
  <c r="N25" i="33"/>
  <c r="M25" i="33"/>
  <c r="O25" i="33" s="1"/>
  <c r="N24" i="33"/>
  <c r="M24" i="33"/>
  <c r="O24" i="33" s="1"/>
  <c r="N23" i="33"/>
  <c r="N50" i="33" s="1"/>
  <c r="N147" i="33" s="1"/>
  <c r="M23" i="33"/>
  <c r="O22" i="33"/>
  <c r="N22" i="33"/>
  <c r="O21" i="33"/>
  <c r="N21" i="33"/>
  <c r="N20" i="33"/>
  <c r="K20" i="33"/>
  <c r="O19" i="33"/>
  <c r="N19" i="33"/>
  <c r="N18" i="33"/>
  <c r="M18" i="33"/>
  <c r="O18" i="33" s="1"/>
  <c r="N17" i="33"/>
  <c r="M17" i="33"/>
  <c r="O17" i="33" s="1"/>
  <c r="J17" i="33"/>
  <c r="N16" i="33"/>
  <c r="M16" i="33"/>
  <c r="O16" i="33" s="1"/>
  <c r="O15" i="33"/>
  <c r="N15" i="33"/>
  <c r="M15" i="33"/>
  <c r="J15" i="33"/>
  <c r="O14" i="33"/>
  <c r="O13" i="33"/>
  <c r="N13" i="33"/>
  <c r="O12" i="33"/>
  <c r="O11" i="33"/>
  <c r="O10" i="33"/>
  <c r="N10" i="33"/>
  <c r="N9" i="33"/>
  <c r="K9" i="33"/>
  <c r="O9" i="33" s="1"/>
  <c r="O8" i="33"/>
  <c r="N8" i="33"/>
  <c r="N7" i="33"/>
  <c r="M7" i="33"/>
  <c r="O7" i="33" s="1"/>
  <c r="N6" i="33"/>
  <c r="M6" i="33"/>
  <c r="O6" i="33" s="1"/>
  <c r="N5" i="33"/>
  <c r="M5" i="33"/>
  <c r="K5" i="33"/>
  <c r="O100" i="35" l="1"/>
  <c r="M139" i="35"/>
  <c r="N141" i="35"/>
  <c r="N139" i="35"/>
  <c r="N140" i="35"/>
  <c r="O69" i="35"/>
  <c r="M140" i="35"/>
  <c r="O136" i="35"/>
  <c r="O70" i="35"/>
  <c r="O141" i="35" s="1"/>
  <c r="O46" i="35"/>
  <c r="O139" i="35" s="1"/>
  <c r="M141" i="35"/>
  <c r="J146" i="33"/>
  <c r="O109" i="33"/>
  <c r="O121" i="33"/>
  <c r="M58" i="33"/>
  <c r="M101" i="33"/>
  <c r="N101" i="33"/>
  <c r="O148" i="33"/>
  <c r="N100" i="33"/>
  <c r="O75" i="33"/>
  <c r="N111" i="33"/>
  <c r="K111" i="33"/>
  <c r="N140" i="33"/>
  <c r="M57" i="33"/>
  <c r="M46" i="33"/>
  <c r="N57" i="33"/>
  <c r="M70" i="33"/>
  <c r="N102" i="33"/>
  <c r="O73" i="33"/>
  <c r="K101" i="33"/>
  <c r="O77" i="33"/>
  <c r="N49" i="33"/>
  <c r="M49" i="33"/>
  <c r="M146" i="33" s="1"/>
  <c r="N46" i="33"/>
  <c r="N47" i="33"/>
  <c r="N48" i="33"/>
  <c r="N145" i="33" s="1"/>
  <c r="O43" i="33"/>
  <c r="O47" i="33" s="1"/>
  <c r="K145" i="33"/>
  <c r="O76" i="33"/>
  <c r="O49" i="33"/>
  <c r="O146" i="33" s="1"/>
  <c r="M69" i="33"/>
  <c r="O61" i="33"/>
  <c r="O70" i="33"/>
  <c r="O48" i="33"/>
  <c r="O58" i="33"/>
  <c r="N69" i="33"/>
  <c r="M68" i="33"/>
  <c r="O63" i="33"/>
  <c r="M102" i="33"/>
  <c r="O126" i="33"/>
  <c r="K140" i="33"/>
  <c r="J48" i="33"/>
  <c r="J145" i="33" s="1"/>
  <c r="M47" i="33"/>
  <c r="O5" i="33"/>
  <c r="K46" i="33"/>
  <c r="K143" i="33" s="1"/>
  <c r="M48" i="33"/>
  <c r="K47" i="33"/>
  <c r="O20" i="33"/>
  <c r="M50" i="33"/>
  <c r="M147" i="33" s="1"/>
  <c r="O23" i="33"/>
  <c r="N146" i="33"/>
  <c r="K146" i="33"/>
  <c r="O101" i="33"/>
  <c r="O102" i="33"/>
  <c r="O111" i="33"/>
  <c r="J140" i="33"/>
  <c r="J144" i="33" s="1"/>
  <c r="J100" i="33"/>
  <c r="J143" i="33" s="1"/>
  <c r="O100" i="33"/>
  <c r="M111" i="33"/>
  <c r="M140" i="33"/>
  <c r="O51" i="33"/>
  <c r="K143" i="32"/>
  <c r="J143" i="32"/>
  <c r="L142" i="32"/>
  <c r="L141" i="32"/>
  <c r="L140" i="32"/>
  <c r="L139" i="32"/>
  <c r="L138" i="32"/>
  <c r="J137" i="32"/>
  <c r="J136" i="32"/>
  <c r="M134" i="32"/>
  <c r="J134" i="32"/>
  <c r="O133" i="32"/>
  <c r="O132" i="32"/>
  <c r="N132" i="32"/>
  <c r="N131" i="32"/>
  <c r="M131" i="32"/>
  <c r="O131" i="32" s="1"/>
  <c r="O130" i="32"/>
  <c r="N130" i="32"/>
  <c r="O129" i="32"/>
  <c r="N129" i="32"/>
  <c r="O128" i="32"/>
  <c r="N128" i="32"/>
  <c r="N127" i="32"/>
  <c r="M127" i="32"/>
  <c r="O127" i="32" s="1"/>
  <c r="N126" i="32"/>
  <c r="O126" i="32" s="1"/>
  <c r="M126" i="32"/>
  <c r="N125" i="32"/>
  <c r="K125" i="32"/>
  <c r="O125" i="32" s="1"/>
  <c r="O124" i="32"/>
  <c r="N124" i="32"/>
  <c r="N123" i="32"/>
  <c r="M123" i="32"/>
  <c r="O123" i="32" s="1"/>
  <c r="K123" i="32"/>
  <c r="J123" i="32"/>
  <c r="N122" i="32"/>
  <c r="M122" i="32"/>
  <c r="O122" i="32" s="1"/>
  <c r="O121" i="32"/>
  <c r="N121" i="32"/>
  <c r="N120" i="32"/>
  <c r="M120" i="32"/>
  <c r="K120" i="32"/>
  <c r="O119" i="32"/>
  <c r="N119" i="32"/>
  <c r="O118" i="32"/>
  <c r="N118" i="32"/>
  <c r="O117" i="32"/>
  <c r="K116" i="32"/>
  <c r="O116" i="32" s="1"/>
  <c r="J116" i="32"/>
  <c r="N115" i="32"/>
  <c r="M115" i="32"/>
  <c r="O115" i="32" s="1"/>
  <c r="O114" i="32"/>
  <c r="N113" i="32"/>
  <c r="M113" i="32"/>
  <c r="O113" i="32" s="1"/>
  <c r="O112" i="32"/>
  <c r="O137" i="32" s="1"/>
  <c r="N112" i="32"/>
  <c r="N137" i="32" s="1"/>
  <c r="M112" i="32"/>
  <c r="M137" i="32" s="1"/>
  <c r="K112" i="32"/>
  <c r="K137" i="32" s="1"/>
  <c r="J112" i="32"/>
  <c r="O111" i="32"/>
  <c r="O136" i="32" s="1"/>
  <c r="N111" i="32"/>
  <c r="N136" i="32" s="1"/>
  <c r="M111" i="32"/>
  <c r="M136" i="32" s="1"/>
  <c r="K111" i="32"/>
  <c r="K136" i="32" s="1"/>
  <c r="J111" i="32"/>
  <c r="O109" i="32"/>
  <c r="O134" i="32" s="1"/>
  <c r="N109" i="32"/>
  <c r="N134" i="32" s="1"/>
  <c r="M109" i="32"/>
  <c r="K109" i="32"/>
  <c r="K134" i="32" s="1"/>
  <c r="J109" i="32"/>
  <c r="N108" i="32"/>
  <c r="M108" i="32"/>
  <c r="K108" i="32"/>
  <c r="O108" i="32" s="1"/>
  <c r="J108" i="32"/>
  <c r="O107" i="32"/>
  <c r="O106" i="32"/>
  <c r="N106" i="32"/>
  <c r="O105" i="32"/>
  <c r="N105" i="32"/>
  <c r="O104" i="32"/>
  <c r="N104" i="32"/>
  <c r="N110" i="32" s="1"/>
  <c r="M103" i="32"/>
  <c r="O103" i="32" s="1"/>
  <c r="J103" i="32"/>
  <c r="O102" i="32"/>
  <c r="N102" i="32"/>
  <c r="M102" i="32"/>
  <c r="K102" i="32"/>
  <c r="J102" i="32"/>
  <c r="K101" i="32"/>
  <c r="J101" i="32"/>
  <c r="J100" i="32"/>
  <c r="O98" i="32"/>
  <c r="N98" i="32"/>
  <c r="O97" i="32"/>
  <c r="N97" i="32"/>
  <c r="O96" i="32"/>
  <c r="O95" i="32"/>
  <c r="N94" i="32"/>
  <c r="M94" i="32"/>
  <c r="O94" i="32" s="1"/>
  <c r="O93" i="32"/>
  <c r="O92" i="32"/>
  <c r="O91" i="32"/>
  <c r="N90" i="32"/>
  <c r="J90" i="32"/>
  <c r="J99" i="32" s="1"/>
  <c r="N89" i="32"/>
  <c r="M89" i="32"/>
  <c r="O89" i="32" s="1"/>
  <c r="O88" i="32"/>
  <c r="N88" i="32"/>
  <c r="N87" i="32"/>
  <c r="M87" i="32"/>
  <c r="O87" i="32" s="1"/>
  <c r="N86" i="32"/>
  <c r="M86" i="32"/>
  <c r="O86" i="32" s="1"/>
  <c r="N85" i="32"/>
  <c r="M85" i="32"/>
  <c r="O85" i="32" s="1"/>
  <c r="N84" i="32"/>
  <c r="M84" i="32"/>
  <c r="O84" i="32" s="1"/>
  <c r="O83" i="32"/>
  <c r="K82" i="32"/>
  <c r="O82" i="32" s="1"/>
  <c r="O81" i="32"/>
  <c r="O80" i="32"/>
  <c r="O79" i="32"/>
  <c r="N78" i="32"/>
  <c r="M78" i="32"/>
  <c r="O78" i="32" s="1"/>
  <c r="N77" i="32"/>
  <c r="M77" i="32"/>
  <c r="O77" i="32" s="1"/>
  <c r="K76" i="32"/>
  <c r="K100" i="32" s="1"/>
  <c r="K75" i="32"/>
  <c r="O75" i="32" s="1"/>
  <c r="O74" i="32"/>
  <c r="N73" i="32"/>
  <c r="M73" i="32"/>
  <c r="M99" i="32" s="1"/>
  <c r="N72" i="32"/>
  <c r="M72" i="32"/>
  <c r="O71" i="32"/>
  <c r="N71" i="32"/>
  <c r="M71" i="32"/>
  <c r="K71" i="32"/>
  <c r="J71" i="32"/>
  <c r="K70" i="32"/>
  <c r="J70" i="32"/>
  <c r="K69" i="32"/>
  <c r="J69" i="32"/>
  <c r="K68" i="32"/>
  <c r="J68" i="32"/>
  <c r="O67" i="32"/>
  <c r="N67" i="32"/>
  <c r="N66" i="32"/>
  <c r="M66" i="32"/>
  <c r="O66" i="32" s="1"/>
  <c r="N65" i="32"/>
  <c r="M65" i="32"/>
  <c r="O65" i="32" s="1"/>
  <c r="N64" i="32"/>
  <c r="M64" i="32"/>
  <c r="N63" i="32"/>
  <c r="N68" i="32" s="1"/>
  <c r="M63" i="32"/>
  <c r="M68" i="32" s="1"/>
  <c r="O62" i="32"/>
  <c r="N61" i="32"/>
  <c r="M61" i="32"/>
  <c r="O60" i="32"/>
  <c r="N60" i="32"/>
  <c r="M60" i="32"/>
  <c r="K60" i="32"/>
  <c r="J60" i="32"/>
  <c r="O59" i="32"/>
  <c r="N59" i="32"/>
  <c r="M59" i="32"/>
  <c r="K59" i="32"/>
  <c r="J59" i="32"/>
  <c r="K58" i="32"/>
  <c r="J58" i="32"/>
  <c r="K57" i="32"/>
  <c r="J57" i="32"/>
  <c r="N56" i="32"/>
  <c r="M56" i="32"/>
  <c r="O56" i="32" s="1"/>
  <c r="N55" i="32"/>
  <c r="M55" i="32"/>
  <c r="O55" i="32" s="1"/>
  <c r="N54" i="32"/>
  <c r="M54" i="32"/>
  <c r="O54" i="32" s="1"/>
  <c r="N53" i="32"/>
  <c r="M53" i="32"/>
  <c r="N52" i="32"/>
  <c r="M52" i="32"/>
  <c r="O52" i="32" s="1"/>
  <c r="N51" i="32"/>
  <c r="M51" i="32"/>
  <c r="O51" i="32" s="1"/>
  <c r="K50" i="32"/>
  <c r="K142" i="32" s="1"/>
  <c r="J50" i="32"/>
  <c r="J142" i="32" s="1"/>
  <c r="K49" i="32"/>
  <c r="J49" i="32"/>
  <c r="K48" i="32"/>
  <c r="J47" i="32"/>
  <c r="J46" i="32"/>
  <c r="O45" i="32"/>
  <c r="N45" i="32"/>
  <c r="O44" i="32"/>
  <c r="N44" i="32"/>
  <c r="N43" i="32"/>
  <c r="M43" i="32"/>
  <c r="K43" i="32"/>
  <c r="N42" i="32"/>
  <c r="M42" i="32"/>
  <c r="O42" i="32" s="1"/>
  <c r="N41" i="32"/>
  <c r="M41" i="32"/>
  <c r="O41" i="32" s="1"/>
  <c r="N40" i="32"/>
  <c r="M40" i="32"/>
  <c r="O40" i="32" s="1"/>
  <c r="N39" i="32"/>
  <c r="M39" i="32"/>
  <c r="O39" i="32" s="1"/>
  <c r="N38" i="32"/>
  <c r="M38" i="32"/>
  <c r="O38" i="32" s="1"/>
  <c r="N37" i="32"/>
  <c r="M37" i="32"/>
  <c r="O37" i="32" s="1"/>
  <c r="N36" i="32"/>
  <c r="M36" i="32"/>
  <c r="O36" i="32" s="1"/>
  <c r="N35" i="32"/>
  <c r="M35" i="32"/>
  <c r="O35" i="32" s="1"/>
  <c r="N34" i="32"/>
  <c r="M34" i="32"/>
  <c r="O34" i="32" s="1"/>
  <c r="N33" i="32"/>
  <c r="M33" i="32"/>
  <c r="O33" i="32" s="1"/>
  <c r="N32" i="32"/>
  <c r="M32" i="32"/>
  <c r="O32" i="32" s="1"/>
  <c r="N31" i="32"/>
  <c r="M31" i="32"/>
  <c r="O31" i="32" s="1"/>
  <c r="N30" i="32"/>
  <c r="M30" i="32"/>
  <c r="O30" i="32" s="1"/>
  <c r="N29" i="32"/>
  <c r="M29" i="32"/>
  <c r="N28" i="32"/>
  <c r="M28" i="32"/>
  <c r="O28" i="32" s="1"/>
  <c r="N27" i="32"/>
  <c r="M27" i="32"/>
  <c r="O27" i="32" s="1"/>
  <c r="N26" i="32"/>
  <c r="M26" i="32"/>
  <c r="O26" i="32" s="1"/>
  <c r="N25" i="32"/>
  <c r="M25" i="32"/>
  <c r="O25" i="32" s="1"/>
  <c r="N24" i="32"/>
  <c r="M24" i="32"/>
  <c r="O24" i="32" s="1"/>
  <c r="N23" i="32"/>
  <c r="M23" i="32"/>
  <c r="M50" i="32" s="1"/>
  <c r="M142" i="32" s="1"/>
  <c r="O22" i="32"/>
  <c r="N22" i="32"/>
  <c r="O21" i="32"/>
  <c r="N21" i="32"/>
  <c r="N20" i="32"/>
  <c r="K20" i="32"/>
  <c r="O20" i="32" s="1"/>
  <c r="O19" i="32"/>
  <c r="N19" i="32"/>
  <c r="O18" i="32"/>
  <c r="N18" i="32"/>
  <c r="O17" i="32"/>
  <c r="N17" i="32"/>
  <c r="J17" i="32"/>
  <c r="N16" i="32"/>
  <c r="M16" i="32"/>
  <c r="N15" i="32"/>
  <c r="M15" i="32"/>
  <c r="J15" i="32"/>
  <c r="O14" i="32"/>
  <c r="O13" i="32"/>
  <c r="N13" i="32"/>
  <c r="O12" i="32"/>
  <c r="O11" i="32"/>
  <c r="O10" i="32"/>
  <c r="N10" i="32"/>
  <c r="N9" i="32"/>
  <c r="K9" i="32"/>
  <c r="O9" i="32" s="1"/>
  <c r="O8" i="32"/>
  <c r="N8" i="32"/>
  <c r="N7" i="32"/>
  <c r="M7" i="32"/>
  <c r="O7" i="32" s="1"/>
  <c r="N6" i="32"/>
  <c r="M6" i="32"/>
  <c r="O6" i="32" s="1"/>
  <c r="N5" i="32"/>
  <c r="M5" i="32"/>
  <c r="K5" i="32"/>
  <c r="O140" i="35" l="1"/>
  <c r="N143" i="33"/>
  <c r="M145" i="33"/>
  <c r="M143" i="33"/>
  <c r="N144" i="33"/>
  <c r="O140" i="33"/>
  <c r="O46" i="33"/>
  <c r="O145" i="33"/>
  <c r="O69" i="33"/>
  <c r="K144" i="33"/>
  <c r="M144" i="33"/>
  <c r="O68" i="33"/>
  <c r="O57" i="33"/>
  <c r="O50" i="33"/>
  <c r="O147" i="33" s="1"/>
  <c r="M69" i="32"/>
  <c r="M70" i="32"/>
  <c r="N99" i="32"/>
  <c r="N100" i="32"/>
  <c r="J135" i="32"/>
  <c r="O5" i="32"/>
  <c r="J110" i="32"/>
  <c r="K110" i="32"/>
  <c r="O64" i="32"/>
  <c r="N70" i="32"/>
  <c r="M49" i="32"/>
  <c r="M141" i="32" s="1"/>
  <c r="J138" i="32"/>
  <c r="K141" i="32"/>
  <c r="N57" i="32"/>
  <c r="O61" i="32"/>
  <c r="O69" i="32" s="1"/>
  <c r="O63" i="32"/>
  <c r="O68" i="32" s="1"/>
  <c r="N135" i="32"/>
  <c r="O120" i="32"/>
  <c r="O46" i="32"/>
  <c r="N48" i="32"/>
  <c r="M58" i="32"/>
  <c r="K90" i="32"/>
  <c r="O90" i="32" s="1"/>
  <c r="K46" i="32"/>
  <c r="K47" i="32"/>
  <c r="N50" i="32"/>
  <c r="N142" i="32" s="1"/>
  <c r="N49" i="32"/>
  <c r="N141" i="32" s="1"/>
  <c r="O43" i="32"/>
  <c r="K140" i="32"/>
  <c r="N58" i="32"/>
  <c r="M101" i="32"/>
  <c r="O76" i="32"/>
  <c r="M100" i="32"/>
  <c r="K135" i="32"/>
  <c r="N47" i="32"/>
  <c r="O23" i="32"/>
  <c r="J141" i="32"/>
  <c r="N69" i="32"/>
  <c r="N101" i="32"/>
  <c r="O143" i="32"/>
  <c r="O70" i="32"/>
  <c r="O135" i="32"/>
  <c r="M46" i="32"/>
  <c r="M47" i="32"/>
  <c r="O16" i="32"/>
  <c r="O50" i="32"/>
  <c r="O142" i="32" s="1"/>
  <c r="O57" i="32"/>
  <c r="N46" i="32"/>
  <c r="O47" i="32"/>
  <c r="M48" i="32"/>
  <c r="O15" i="32"/>
  <c r="O110" i="32"/>
  <c r="J48" i="32"/>
  <c r="J140" i="32" s="1"/>
  <c r="M57" i="32"/>
  <c r="M110" i="32"/>
  <c r="O29" i="32"/>
  <c r="O53" i="32"/>
  <c r="O72" i="32"/>
  <c r="O100" i="32"/>
  <c r="M135" i="32"/>
  <c r="O73" i="32"/>
  <c r="E18" i="3"/>
  <c r="N138" i="32" l="1"/>
  <c r="O144" i="33"/>
  <c r="O143" i="33"/>
  <c r="J139" i="32"/>
  <c r="N139" i="32"/>
  <c r="M140" i="32"/>
  <c r="K99" i="32"/>
  <c r="K138" i="32" s="1"/>
  <c r="K139" i="32"/>
  <c r="N140" i="32"/>
  <c r="M138" i="32"/>
  <c r="O48" i="32"/>
  <c r="O101" i="32"/>
  <c r="M139" i="32"/>
  <c r="O99" i="32"/>
  <c r="O138" i="32" s="1"/>
  <c r="O58" i="32"/>
  <c r="O139" i="32" s="1"/>
  <c r="O49" i="32"/>
  <c r="O141" i="32" s="1"/>
  <c r="K143" i="31"/>
  <c r="J143" i="31"/>
  <c r="L142" i="31"/>
  <c r="L141" i="31"/>
  <c r="L140" i="31"/>
  <c r="L139" i="31"/>
  <c r="L138" i="31"/>
  <c r="J137" i="31"/>
  <c r="J136" i="31"/>
  <c r="M134" i="31"/>
  <c r="J134" i="31"/>
  <c r="O133" i="31"/>
  <c r="O132" i="31"/>
  <c r="N132" i="31"/>
  <c r="N131" i="31"/>
  <c r="M131" i="31"/>
  <c r="O131" i="31" s="1"/>
  <c r="O130" i="31"/>
  <c r="N130" i="31"/>
  <c r="O129" i="31"/>
  <c r="N129" i="31"/>
  <c r="O128" i="31"/>
  <c r="N128" i="31"/>
  <c r="N127" i="31"/>
  <c r="M127" i="31"/>
  <c r="O127" i="31" s="1"/>
  <c r="N126" i="31"/>
  <c r="O126" i="31" s="1"/>
  <c r="M126" i="31"/>
  <c r="N125" i="31"/>
  <c r="K125" i="31"/>
  <c r="O124" i="31"/>
  <c r="N124" i="31"/>
  <c r="N123" i="31"/>
  <c r="M123" i="31"/>
  <c r="K123" i="31"/>
  <c r="O123" i="31" s="1"/>
  <c r="J123" i="31"/>
  <c r="N122" i="31"/>
  <c r="M122" i="31"/>
  <c r="O122" i="31" s="1"/>
  <c r="O121" i="31"/>
  <c r="N121" i="31"/>
  <c r="N120" i="31"/>
  <c r="M120" i="31"/>
  <c r="K120" i="31"/>
  <c r="O120" i="31" s="1"/>
  <c r="O119" i="31"/>
  <c r="N119" i="31"/>
  <c r="O118" i="31"/>
  <c r="N118" i="31"/>
  <c r="O117" i="31"/>
  <c r="K116" i="31"/>
  <c r="O116" i="31" s="1"/>
  <c r="J116" i="31"/>
  <c r="N115" i="31"/>
  <c r="M115" i="31"/>
  <c r="O115" i="31" s="1"/>
  <c r="O114" i="31"/>
  <c r="N113" i="31"/>
  <c r="M113" i="31"/>
  <c r="O113" i="31" s="1"/>
  <c r="O112" i="31"/>
  <c r="O137" i="31" s="1"/>
  <c r="N112" i="31"/>
  <c r="N137" i="31" s="1"/>
  <c r="M112" i="31"/>
  <c r="M137" i="31" s="1"/>
  <c r="K112" i="31"/>
  <c r="K137" i="31" s="1"/>
  <c r="J112" i="31"/>
  <c r="O111" i="31"/>
  <c r="O136" i="31" s="1"/>
  <c r="N111" i="31"/>
  <c r="N136" i="31" s="1"/>
  <c r="M111" i="31"/>
  <c r="M136" i="31" s="1"/>
  <c r="K111" i="31"/>
  <c r="K136" i="31" s="1"/>
  <c r="J111" i="31"/>
  <c r="O109" i="31"/>
  <c r="O134" i="31" s="1"/>
  <c r="N109" i="31"/>
  <c r="N134" i="31" s="1"/>
  <c r="M109" i="31"/>
  <c r="K109" i="31"/>
  <c r="K134" i="31" s="1"/>
  <c r="J109" i="31"/>
  <c r="N108" i="31"/>
  <c r="M108" i="31"/>
  <c r="K108" i="31"/>
  <c r="K110" i="31" s="1"/>
  <c r="J108" i="31"/>
  <c r="O107" i="31"/>
  <c r="O106" i="31"/>
  <c r="N106" i="31"/>
  <c r="O105" i="31"/>
  <c r="N105" i="31"/>
  <c r="O104" i="31"/>
  <c r="N104" i="31"/>
  <c r="M103" i="31"/>
  <c r="O103" i="31" s="1"/>
  <c r="J103" i="31"/>
  <c r="O102" i="31"/>
  <c r="N102" i="31"/>
  <c r="M102" i="31"/>
  <c r="K102" i="31"/>
  <c r="J102" i="31"/>
  <c r="K101" i="31"/>
  <c r="J101" i="31"/>
  <c r="J100" i="31"/>
  <c r="O98" i="31"/>
  <c r="N98" i="31"/>
  <c r="O97" i="31"/>
  <c r="N97" i="31"/>
  <c r="O96" i="31"/>
  <c r="O95" i="31"/>
  <c r="N94" i="31"/>
  <c r="M94" i="31"/>
  <c r="O94" i="31" s="1"/>
  <c r="O93" i="31"/>
  <c r="O92" i="31"/>
  <c r="O91" i="31"/>
  <c r="N90" i="31"/>
  <c r="J90" i="31"/>
  <c r="J99" i="31" s="1"/>
  <c r="N89" i="31"/>
  <c r="M89" i="31"/>
  <c r="O89" i="31" s="1"/>
  <c r="O88" i="31"/>
  <c r="N88" i="31"/>
  <c r="N87" i="31"/>
  <c r="M87" i="31"/>
  <c r="O87" i="31" s="1"/>
  <c r="N86" i="31"/>
  <c r="M86" i="31"/>
  <c r="O86" i="31" s="1"/>
  <c r="N85" i="31"/>
  <c r="M85" i="31"/>
  <c r="O85" i="31" s="1"/>
  <c r="N84" i="31"/>
  <c r="M84" i="31"/>
  <c r="O84" i="31" s="1"/>
  <c r="O83" i="31"/>
  <c r="K82" i="31"/>
  <c r="O82" i="31" s="1"/>
  <c r="O81" i="31"/>
  <c r="O80" i="31"/>
  <c r="O79" i="31"/>
  <c r="N78" i="31"/>
  <c r="M78" i="31"/>
  <c r="O78" i="31" s="1"/>
  <c r="N77" i="31"/>
  <c r="M77" i="31"/>
  <c r="O77" i="31" s="1"/>
  <c r="K76" i="31"/>
  <c r="K100" i="31" s="1"/>
  <c r="K75" i="31"/>
  <c r="O74" i="31"/>
  <c r="N73" i="31"/>
  <c r="M73" i="31"/>
  <c r="M99" i="31" s="1"/>
  <c r="N72" i="31"/>
  <c r="M72" i="31"/>
  <c r="O71" i="31"/>
  <c r="N71" i="31"/>
  <c r="M71" i="31"/>
  <c r="K71" i="31"/>
  <c r="J71" i="31"/>
  <c r="K70" i="31"/>
  <c r="J70" i="31"/>
  <c r="K69" i="31"/>
  <c r="J69" i="31"/>
  <c r="K68" i="31"/>
  <c r="J68" i="31"/>
  <c r="O67" i="31"/>
  <c r="N67" i="31"/>
  <c r="N66" i="31"/>
  <c r="M66" i="31"/>
  <c r="O66" i="31" s="1"/>
  <c r="N65" i="31"/>
  <c r="M65" i="31"/>
  <c r="O65" i="31" s="1"/>
  <c r="N64" i="31"/>
  <c r="M64" i="31"/>
  <c r="O64" i="31" s="1"/>
  <c r="N63" i="31"/>
  <c r="N68" i="31" s="1"/>
  <c r="M63" i="31"/>
  <c r="M68" i="31" s="1"/>
  <c r="O62" i="31"/>
  <c r="N61" i="31"/>
  <c r="M61" i="31"/>
  <c r="M69" i="31" s="1"/>
  <c r="O60" i="31"/>
  <c r="N60" i="31"/>
  <c r="M60" i="31"/>
  <c r="K60" i="31"/>
  <c r="J60" i="31"/>
  <c r="O59" i="31"/>
  <c r="N59" i="31"/>
  <c r="M59" i="31"/>
  <c r="K59" i="31"/>
  <c r="J59" i="31"/>
  <c r="K58" i="31"/>
  <c r="J58" i="31"/>
  <c r="K57" i="31"/>
  <c r="J57" i="31"/>
  <c r="N56" i="31"/>
  <c r="M56" i="31"/>
  <c r="O56" i="31" s="1"/>
  <c r="O55" i="31"/>
  <c r="N55" i="31"/>
  <c r="M55" i="31"/>
  <c r="N54" i="31"/>
  <c r="M54" i="31"/>
  <c r="O54" i="31" s="1"/>
  <c r="N53" i="31"/>
  <c r="M53" i="31"/>
  <c r="N52" i="31"/>
  <c r="M52" i="31"/>
  <c r="N51" i="31"/>
  <c r="M51" i="31"/>
  <c r="O51" i="31" s="1"/>
  <c r="K50" i="31"/>
  <c r="K142" i="31" s="1"/>
  <c r="J50" i="31"/>
  <c r="J142" i="31" s="1"/>
  <c r="K49" i="31"/>
  <c r="J49" i="31"/>
  <c r="K48" i="31"/>
  <c r="J47" i="31"/>
  <c r="J46" i="31"/>
  <c r="O45" i="31"/>
  <c r="N45" i="31"/>
  <c r="O44" i="31"/>
  <c r="N44" i="31"/>
  <c r="N43" i="31"/>
  <c r="M43" i="31"/>
  <c r="K43" i="31"/>
  <c r="N42" i="31"/>
  <c r="M42" i="31"/>
  <c r="O42" i="31" s="1"/>
  <c r="N41" i="31"/>
  <c r="M41" i="31"/>
  <c r="O41" i="31" s="1"/>
  <c r="N40" i="31"/>
  <c r="M40" i="31"/>
  <c r="O40" i="31" s="1"/>
  <c r="N39" i="31"/>
  <c r="M39" i="31"/>
  <c r="O39" i="31" s="1"/>
  <c r="N38" i="31"/>
  <c r="M38" i="31"/>
  <c r="O38" i="31" s="1"/>
  <c r="N37" i="31"/>
  <c r="M37" i="31"/>
  <c r="O37" i="31" s="1"/>
  <c r="M36" i="31"/>
  <c r="O36" i="31" s="1"/>
  <c r="M35" i="31"/>
  <c r="O35" i="31" s="1"/>
  <c r="M34" i="31"/>
  <c r="O34" i="31" s="1"/>
  <c r="N33" i="31"/>
  <c r="M33" i="31"/>
  <c r="O33" i="31" s="1"/>
  <c r="N32" i="31"/>
  <c r="M32" i="31"/>
  <c r="O32" i="31" s="1"/>
  <c r="N31" i="31"/>
  <c r="M31" i="31"/>
  <c r="O31" i="31" s="1"/>
  <c r="N30" i="31"/>
  <c r="M30" i="31"/>
  <c r="O30" i="31" s="1"/>
  <c r="N29" i="31"/>
  <c r="M29" i="31"/>
  <c r="N28" i="31"/>
  <c r="M28" i="31"/>
  <c r="O28" i="31" s="1"/>
  <c r="N27" i="31"/>
  <c r="M27" i="31"/>
  <c r="O27" i="31" s="1"/>
  <c r="N26" i="31"/>
  <c r="M26" i="31"/>
  <c r="O26" i="31" s="1"/>
  <c r="N25" i="31"/>
  <c r="M25" i="31"/>
  <c r="O25" i="31" s="1"/>
  <c r="N24" i="31"/>
  <c r="M24" i="31"/>
  <c r="O24" i="31" s="1"/>
  <c r="N23" i="31"/>
  <c r="M23" i="31"/>
  <c r="M50" i="31" s="1"/>
  <c r="M142" i="31" s="1"/>
  <c r="O22" i="31"/>
  <c r="N22" i="31"/>
  <c r="O21" i="31"/>
  <c r="N21" i="31"/>
  <c r="N20" i="31"/>
  <c r="K20" i="31"/>
  <c r="O20" i="31" s="1"/>
  <c r="O19" i="31"/>
  <c r="N19" i="31"/>
  <c r="O18" i="31"/>
  <c r="N18" i="31"/>
  <c r="O17" i="31"/>
  <c r="N17" i="31"/>
  <c r="J17" i="31"/>
  <c r="N16" i="31"/>
  <c r="M16" i="31"/>
  <c r="N15" i="31"/>
  <c r="M15" i="31"/>
  <c r="J15" i="31"/>
  <c r="O14" i="31"/>
  <c r="O13" i="31"/>
  <c r="N13" i="31"/>
  <c r="O12" i="31"/>
  <c r="O11" i="31"/>
  <c r="O10" i="31"/>
  <c r="N10" i="31"/>
  <c r="N9" i="31"/>
  <c r="K9" i="31"/>
  <c r="O9" i="31" s="1"/>
  <c r="O8" i="31"/>
  <c r="N8" i="31"/>
  <c r="O7" i="31"/>
  <c r="N7" i="31"/>
  <c r="M7" i="31"/>
  <c r="N6" i="31"/>
  <c r="M6" i="31"/>
  <c r="O6" i="31" s="1"/>
  <c r="N5" i="31"/>
  <c r="M5" i="31"/>
  <c r="K5" i="31"/>
  <c r="O5" i="31" s="1"/>
  <c r="O140" i="32" l="1"/>
  <c r="O108" i="31"/>
  <c r="M47" i="31"/>
  <c r="N50" i="31"/>
  <c r="N142" i="31" s="1"/>
  <c r="K46" i="31"/>
  <c r="K141" i="31"/>
  <c r="O61" i="31"/>
  <c r="O63" i="31"/>
  <c r="O68" i="31" s="1"/>
  <c r="O43" i="31"/>
  <c r="N99" i="31"/>
  <c r="M48" i="31"/>
  <c r="J110" i="31"/>
  <c r="J141" i="31"/>
  <c r="N69" i="31"/>
  <c r="M100" i="31"/>
  <c r="M49" i="31"/>
  <c r="M141" i="31" s="1"/>
  <c r="K90" i="31"/>
  <c r="O90" i="31" s="1"/>
  <c r="N47" i="31"/>
  <c r="O16" i="31"/>
  <c r="K140" i="31"/>
  <c r="N57" i="31"/>
  <c r="M70" i="31"/>
  <c r="O143" i="31"/>
  <c r="N49" i="31"/>
  <c r="N141" i="31" s="1"/>
  <c r="O15" i="31"/>
  <c r="O48" i="31" s="1"/>
  <c r="O29" i="31"/>
  <c r="J138" i="31"/>
  <c r="N58" i="31"/>
  <c r="N70" i="31"/>
  <c r="N100" i="31"/>
  <c r="N110" i="31"/>
  <c r="N135" i="31"/>
  <c r="O46" i="31"/>
  <c r="M46" i="31"/>
  <c r="J48" i="31"/>
  <c r="J140" i="31" s="1"/>
  <c r="M58" i="31"/>
  <c r="O53" i="31"/>
  <c r="O69" i="31"/>
  <c r="M101" i="31"/>
  <c r="O72" i="31"/>
  <c r="O110" i="31"/>
  <c r="O70" i="31"/>
  <c r="N101" i="31"/>
  <c r="J135" i="31"/>
  <c r="N46" i="31"/>
  <c r="N48" i="31"/>
  <c r="O52" i="31"/>
  <c r="M57" i="31"/>
  <c r="O125" i="31"/>
  <c r="K135" i="31"/>
  <c r="M110" i="31"/>
  <c r="O75" i="31"/>
  <c r="O76" i="31"/>
  <c r="M135" i="31"/>
  <c r="K47" i="31"/>
  <c r="O23" i="31"/>
  <c r="O73" i="31"/>
  <c r="N140" i="31" l="1"/>
  <c r="O47" i="31"/>
  <c r="K99" i="31"/>
  <c r="K138" i="31" s="1"/>
  <c r="M140" i="31"/>
  <c r="M139" i="31"/>
  <c r="N139" i="31"/>
  <c r="J139" i="31"/>
  <c r="O57" i="31"/>
  <c r="O49" i="31"/>
  <c r="O141" i="31" s="1"/>
  <c r="N138" i="31"/>
  <c r="O101" i="31"/>
  <c r="O140" i="31" s="1"/>
  <c r="O58" i="31"/>
  <c r="K139" i="31"/>
  <c r="O50" i="31"/>
  <c r="O142" i="31" s="1"/>
  <c r="O99" i="31"/>
  <c r="O100" i="31"/>
  <c r="M138" i="31"/>
  <c r="O135" i="31"/>
  <c r="O138" i="31" l="1"/>
  <c r="O139" i="31"/>
  <c r="J143" i="29" l="1"/>
  <c r="I143" i="29"/>
  <c r="K142" i="29"/>
  <c r="K141" i="29"/>
  <c r="K140" i="29"/>
  <c r="K139" i="29"/>
  <c r="K138" i="29"/>
  <c r="I137" i="29"/>
  <c r="I136" i="29"/>
  <c r="L134" i="29"/>
  <c r="I134" i="29"/>
  <c r="N133" i="29"/>
  <c r="N132" i="29"/>
  <c r="M132" i="29"/>
  <c r="M131" i="29"/>
  <c r="L131" i="29"/>
  <c r="N131" i="29" s="1"/>
  <c r="N130" i="29"/>
  <c r="M130" i="29"/>
  <c r="N129" i="29"/>
  <c r="M129" i="29"/>
  <c r="N128" i="29"/>
  <c r="M128" i="29"/>
  <c r="M127" i="29"/>
  <c r="L127" i="29"/>
  <c r="N127" i="29" s="1"/>
  <c r="M126" i="29"/>
  <c r="N126" i="29" s="1"/>
  <c r="L126" i="29"/>
  <c r="M125" i="29"/>
  <c r="J125" i="29"/>
  <c r="N125" i="29" s="1"/>
  <c r="N124" i="29"/>
  <c r="M124" i="29"/>
  <c r="M123" i="29"/>
  <c r="L123" i="29"/>
  <c r="J123" i="29"/>
  <c r="I123" i="29"/>
  <c r="M122" i="29"/>
  <c r="L122" i="29"/>
  <c r="N122" i="29" s="1"/>
  <c r="N121" i="29"/>
  <c r="M121" i="29"/>
  <c r="M120" i="29"/>
  <c r="L120" i="29"/>
  <c r="N120" i="29" s="1"/>
  <c r="J120" i="29"/>
  <c r="N119" i="29"/>
  <c r="M119" i="29"/>
  <c r="N118" i="29"/>
  <c r="M118" i="29"/>
  <c r="N117" i="29"/>
  <c r="J116" i="29"/>
  <c r="N116" i="29" s="1"/>
  <c r="I116" i="29"/>
  <c r="M115" i="29"/>
  <c r="L115" i="29"/>
  <c r="N115" i="29" s="1"/>
  <c r="N114" i="29"/>
  <c r="M113" i="29"/>
  <c r="L113" i="29"/>
  <c r="N113" i="29" s="1"/>
  <c r="N112" i="29"/>
  <c r="N137" i="29" s="1"/>
  <c r="M112" i="29"/>
  <c r="M137" i="29" s="1"/>
  <c r="L112" i="29"/>
  <c r="L137" i="29" s="1"/>
  <c r="J112" i="29"/>
  <c r="J137" i="29" s="1"/>
  <c r="I112" i="29"/>
  <c r="N111" i="29"/>
  <c r="N136" i="29" s="1"/>
  <c r="M111" i="29"/>
  <c r="M136" i="29" s="1"/>
  <c r="L111" i="29"/>
  <c r="L136" i="29" s="1"/>
  <c r="J111" i="29"/>
  <c r="J136" i="29" s="1"/>
  <c r="I111" i="29"/>
  <c r="N109" i="29"/>
  <c r="N134" i="29" s="1"/>
  <c r="M109" i="29"/>
  <c r="M134" i="29" s="1"/>
  <c r="L109" i="29"/>
  <c r="J109" i="29"/>
  <c r="J134" i="29" s="1"/>
  <c r="I109" i="29"/>
  <c r="M108" i="29"/>
  <c r="L108" i="29"/>
  <c r="J108" i="29"/>
  <c r="J110" i="29" s="1"/>
  <c r="I108" i="29"/>
  <c r="N107" i="29"/>
  <c r="N106" i="29"/>
  <c r="M106" i="29"/>
  <c r="N105" i="29"/>
  <c r="M105" i="29"/>
  <c r="N104" i="29"/>
  <c r="M104" i="29"/>
  <c r="L103" i="29"/>
  <c r="N103" i="29" s="1"/>
  <c r="I103" i="29"/>
  <c r="N102" i="29"/>
  <c r="M102" i="29"/>
  <c r="L102" i="29"/>
  <c r="J102" i="29"/>
  <c r="I102" i="29"/>
  <c r="J101" i="29"/>
  <c r="I101" i="29"/>
  <c r="I100" i="29"/>
  <c r="N98" i="29"/>
  <c r="M98" i="29"/>
  <c r="N97" i="29"/>
  <c r="M97" i="29"/>
  <c r="N96" i="29"/>
  <c r="N95" i="29"/>
  <c r="M94" i="29"/>
  <c r="L94" i="29"/>
  <c r="N94" i="29" s="1"/>
  <c r="N93" i="29"/>
  <c r="N92" i="29"/>
  <c r="N91" i="29"/>
  <c r="M90" i="29"/>
  <c r="I90" i="29"/>
  <c r="I99" i="29" s="1"/>
  <c r="M89" i="29"/>
  <c r="L89" i="29"/>
  <c r="N89" i="29" s="1"/>
  <c r="N88" i="29"/>
  <c r="M88" i="29"/>
  <c r="M87" i="29"/>
  <c r="L87" i="29"/>
  <c r="N87" i="29" s="1"/>
  <c r="M86" i="29"/>
  <c r="L86" i="29"/>
  <c r="N86" i="29" s="1"/>
  <c r="M85" i="29"/>
  <c r="L85" i="29"/>
  <c r="N85" i="29" s="1"/>
  <c r="M84" i="29"/>
  <c r="L84" i="29"/>
  <c r="N84" i="29" s="1"/>
  <c r="N83" i="29"/>
  <c r="J82" i="29"/>
  <c r="N82" i="29" s="1"/>
  <c r="N81" i="29"/>
  <c r="N80" i="29"/>
  <c r="N79" i="29"/>
  <c r="M78" i="29"/>
  <c r="L78" i="29"/>
  <c r="N78" i="29" s="1"/>
  <c r="M77" i="29"/>
  <c r="L77" i="29"/>
  <c r="N77" i="29" s="1"/>
  <c r="J76" i="29"/>
  <c r="N76" i="29" s="1"/>
  <c r="J75" i="29"/>
  <c r="N74" i="29"/>
  <c r="M73" i="29"/>
  <c r="M99" i="29" s="1"/>
  <c r="L73" i="29"/>
  <c r="L99" i="29" s="1"/>
  <c r="M72" i="29"/>
  <c r="L72" i="29"/>
  <c r="N71" i="29"/>
  <c r="M71" i="29"/>
  <c r="L71" i="29"/>
  <c r="J71" i="29"/>
  <c r="I71" i="29"/>
  <c r="J70" i="29"/>
  <c r="I70" i="29"/>
  <c r="J69" i="29"/>
  <c r="I69" i="29"/>
  <c r="J68" i="29"/>
  <c r="I68" i="29"/>
  <c r="N67" i="29"/>
  <c r="M67" i="29"/>
  <c r="M66" i="29"/>
  <c r="L66" i="29"/>
  <c r="N66" i="29" s="1"/>
  <c r="M65" i="29"/>
  <c r="L65" i="29"/>
  <c r="N65" i="29" s="1"/>
  <c r="M64" i="29"/>
  <c r="M70" i="29" s="1"/>
  <c r="L64" i="29"/>
  <c r="M63" i="29"/>
  <c r="M68" i="29" s="1"/>
  <c r="L63" i="29"/>
  <c r="L68" i="29" s="1"/>
  <c r="N62" i="29"/>
  <c r="M61" i="29"/>
  <c r="L61" i="29"/>
  <c r="N60" i="29"/>
  <c r="M60" i="29"/>
  <c r="L60" i="29"/>
  <c r="J60" i="29"/>
  <c r="I60" i="29"/>
  <c r="N59" i="29"/>
  <c r="M59" i="29"/>
  <c r="L59" i="29"/>
  <c r="J59" i="29"/>
  <c r="I59" i="29"/>
  <c r="J58" i="29"/>
  <c r="I58" i="29"/>
  <c r="J57" i="29"/>
  <c r="I57" i="29"/>
  <c r="M56" i="29"/>
  <c r="L56" i="29"/>
  <c r="N56" i="29" s="1"/>
  <c r="N55" i="29"/>
  <c r="M55" i="29"/>
  <c r="L55" i="29"/>
  <c r="M54" i="29"/>
  <c r="L54" i="29"/>
  <c r="N54" i="29" s="1"/>
  <c r="M53" i="29"/>
  <c r="L53" i="29"/>
  <c r="M52" i="29"/>
  <c r="L52" i="29"/>
  <c r="N52" i="29" s="1"/>
  <c r="M51" i="29"/>
  <c r="L51" i="29"/>
  <c r="J50" i="29"/>
  <c r="J142" i="29" s="1"/>
  <c r="I50" i="29"/>
  <c r="I142" i="29" s="1"/>
  <c r="J49" i="29"/>
  <c r="I49" i="29"/>
  <c r="J48" i="29"/>
  <c r="I47" i="29"/>
  <c r="I46" i="29"/>
  <c r="N45" i="29"/>
  <c r="M45" i="29"/>
  <c r="N44" i="29"/>
  <c r="M44" i="29"/>
  <c r="M43" i="29"/>
  <c r="L43" i="29"/>
  <c r="J43" i="29"/>
  <c r="M42" i="29"/>
  <c r="L42" i="29"/>
  <c r="N42" i="29" s="1"/>
  <c r="M41" i="29"/>
  <c r="L41" i="29"/>
  <c r="N41" i="29" s="1"/>
  <c r="M40" i="29"/>
  <c r="L40" i="29"/>
  <c r="N40" i="29" s="1"/>
  <c r="M39" i="29"/>
  <c r="L39" i="29"/>
  <c r="N39" i="29" s="1"/>
  <c r="M38" i="29"/>
  <c r="L38" i="29"/>
  <c r="N38" i="29" s="1"/>
  <c r="M37" i="29"/>
  <c r="L37" i="29"/>
  <c r="N37" i="29" s="1"/>
  <c r="L36" i="29"/>
  <c r="N36" i="29" s="1"/>
  <c r="L35" i="29"/>
  <c r="N35" i="29" s="1"/>
  <c r="L34" i="29"/>
  <c r="N34" i="29" s="1"/>
  <c r="M33" i="29"/>
  <c r="L33" i="29"/>
  <c r="N33" i="29" s="1"/>
  <c r="M32" i="29"/>
  <c r="L32" i="29"/>
  <c r="N32" i="29" s="1"/>
  <c r="M31" i="29"/>
  <c r="L31" i="29"/>
  <c r="N31" i="29" s="1"/>
  <c r="M30" i="29"/>
  <c r="L30" i="29"/>
  <c r="N30" i="29" s="1"/>
  <c r="N29" i="29"/>
  <c r="M29" i="29"/>
  <c r="L29" i="29"/>
  <c r="M28" i="29"/>
  <c r="L28" i="29"/>
  <c r="N28" i="29" s="1"/>
  <c r="M27" i="29"/>
  <c r="L27" i="29"/>
  <c r="N27" i="29" s="1"/>
  <c r="M26" i="29"/>
  <c r="L26" i="29"/>
  <c r="N26" i="29" s="1"/>
  <c r="M25" i="29"/>
  <c r="L25" i="29"/>
  <c r="N25" i="29" s="1"/>
  <c r="M24" i="29"/>
  <c r="L24" i="29"/>
  <c r="N24" i="29" s="1"/>
  <c r="M23" i="29"/>
  <c r="L23" i="29"/>
  <c r="N22" i="29"/>
  <c r="M22" i="29"/>
  <c r="N21" i="29"/>
  <c r="M21" i="29"/>
  <c r="N20" i="29"/>
  <c r="M20" i="29"/>
  <c r="N19" i="29"/>
  <c r="M19" i="29"/>
  <c r="N18" i="29"/>
  <c r="M18" i="29"/>
  <c r="N17" i="29"/>
  <c r="M17" i="29"/>
  <c r="I17" i="29"/>
  <c r="M16" i="29"/>
  <c r="L16" i="29"/>
  <c r="M15" i="29"/>
  <c r="L15" i="29"/>
  <c r="N15" i="29" s="1"/>
  <c r="I15" i="29"/>
  <c r="N14" i="29"/>
  <c r="N13" i="29"/>
  <c r="M13" i="29"/>
  <c r="N12" i="29"/>
  <c r="N11" i="29"/>
  <c r="N10" i="29"/>
  <c r="M10" i="29"/>
  <c r="M9" i="29"/>
  <c r="J9" i="29"/>
  <c r="N9" i="29" s="1"/>
  <c r="N8" i="29"/>
  <c r="M8" i="29"/>
  <c r="M7" i="29"/>
  <c r="L7" i="29"/>
  <c r="N7" i="29" s="1"/>
  <c r="M6" i="29"/>
  <c r="L6" i="29"/>
  <c r="N6" i="29" s="1"/>
  <c r="L5" i="29"/>
  <c r="J5" i="29"/>
  <c r="N5" i="29" l="1"/>
  <c r="L70" i="29"/>
  <c r="N43" i="29"/>
  <c r="N108" i="29"/>
  <c r="N110" i="29" s="1"/>
  <c r="I141" i="29"/>
  <c r="L58" i="29"/>
  <c r="L69" i="29"/>
  <c r="L101" i="29"/>
  <c r="N123" i="29"/>
  <c r="M46" i="29"/>
  <c r="J100" i="29"/>
  <c r="L100" i="29"/>
  <c r="I110" i="29"/>
  <c r="M49" i="29"/>
  <c r="M141" i="29" s="1"/>
  <c r="L57" i="29"/>
  <c r="M48" i="29"/>
  <c r="I138" i="29"/>
  <c r="M58" i="29"/>
  <c r="J90" i="29"/>
  <c r="N90" i="29" s="1"/>
  <c r="L48" i="29"/>
  <c r="M50" i="29"/>
  <c r="M142" i="29" s="1"/>
  <c r="M69" i="29"/>
  <c r="M101" i="29"/>
  <c r="M140" i="29" s="1"/>
  <c r="L46" i="29"/>
  <c r="L47" i="29"/>
  <c r="L49" i="29"/>
  <c r="L141" i="29" s="1"/>
  <c r="J47" i="29"/>
  <c r="J139" i="29" s="1"/>
  <c r="J141" i="29"/>
  <c r="M57" i="29"/>
  <c r="N61" i="29"/>
  <c r="N69" i="29" s="1"/>
  <c r="N64" i="29"/>
  <c r="N75" i="29"/>
  <c r="M100" i="29"/>
  <c r="M110" i="29"/>
  <c r="M135" i="29"/>
  <c r="M47" i="29"/>
  <c r="N48" i="29"/>
  <c r="L50" i="29"/>
  <c r="L142" i="29" s="1"/>
  <c r="N51" i="29"/>
  <c r="N63" i="29"/>
  <c r="N68" i="29" s="1"/>
  <c r="N143" i="29"/>
  <c r="J135" i="29"/>
  <c r="N49" i="29"/>
  <c r="N141" i="29" s="1"/>
  <c r="N70" i="29"/>
  <c r="J140" i="29"/>
  <c r="N135" i="29"/>
  <c r="N46" i="29"/>
  <c r="J46" i="29"/>
  <c r="I135" i="29"/>
  <c r="I48" i="29"/>
  <c r="I140" i="29" s="1"/>
  <c r="L110" i="29"/>
  <c r="N16" i="29"/>
  <c r="N53" i="29"/>
  <c r="N72" i="29"/>
  <c r="N100" i="29"/>
  <c r="L135" i="29"/>
  <c r="N23" i="29"/>
  <c r="N73" i="29"/>
  <c r="J99" i="29" l="1"/>
  <c r="J138" i="29" s="1"/>
  <c r="L138" i="29"/>
  <c r="L140" i="29"/>
  <c r="I139" i="29"/>
  <c r="M138" i="29"/>
  <c r="N57" i="29"/>
  <c r="M139" i="29"/>
  <c r="L139" i="29"/>
  <c r="N47" i="29"/>
  <c r="N99" i="29"/>
  <c r="N138" i="29" s="1"/>
  <c r="N101" i="29"/>
  <c r="N140" i="29" s="1"/>
  <c r="N50" i="29"/>
  <c r="N142" i="29" s="1"/>
  <c r="N58" i="29"/>
  <c r="N139" i="29" l="1"/>
  <c r="O144" i="28" l="1"/>
  <c r="N144" i="28"/>
  <c r="P143" i="28"/>
  <c r="P142" i="28"/>
  <c r="P141" i="28"/>
  <c r="P140" i="28"/>
  <c r="P139" i="28"/>
  <c r="S138" i="28"/>
  <c r="R138" i="28"/>
  <c r="Q138" i="28"/>
  <c r="O138" i="28"/>
  <c r="N138" i="28"/>
  <c r="S137" i="28"/>
  <c r="R137" i="28"/>
  <c r="Q137" i="28"/>
  <c r="O137" i="28"/>
  <c r="N137" i="28"/>
  <c r="S135" i="28"/>
  <c r="R135" i="28"/>
  <c r="Q135" i="28"/>
  <c r="O135" i="28"/>
  <c r="N135" i="28"/>
  <c r="S134" i="28"/>
  <c r="S133" i="28"/>
  <c r="R133" i="28"/>
  <c r="R132" i="28"/>
  <c r="Q132" i="28"/>
  <c r="S132" i="28" s="1"/>
  <c r="S131" i="28"/>
  <c r="R131" i="28"/>
  <c r="S130" i="28"/>
  <c r="R130" i="28"/>
  <c r="S129" i="28"/>
  <c r="R129" i="28"/>
  <c r="R128" i="28"/>
  <c r="Q128" i="28"/>
  <c r="S128" i="28" s="1"/>
  <c r="R127" i="28"/>
  <c r="S127" i="28" s="1"/>
  <c r="Q127" i="28"/>
  <c r="R126" i="28"/>
  <c r="O126" i="28"/>
  <c r="S126" i="28" s="1"/>
  <c r="S125" i="28"/>
  <c r="R125" i="28"/>
  <c r="R124" i="28"/>
  <c r="Q124" i="28"/>
  <c r="O124" i="28"/>
  <c r="N124" i="28"/>
  <c r="R123" i="28"/>
  <c r="Q123" i="28"/>
  <c r="S123" i="28" s="1"/>
  <c r="S122" i="28"/>
  <c r="R122" i="28"/>
  <c r="R121" i="28"/>
  <c r="Q121" i="28"/>
  <c r="O121" i="28"/>
  <c r="S120" i="28"/>
  <c r="R120" i="28"/>
  <c r="S119" i="28"/>
  <c r="R119" i="28"/>
  <c r="S118" i="28"/>
  <c r="O117" i="28"/>
  <c r="N117" i="28"/>
  <c r="R116" i="28"/>
  <c r="Q116" i="28"/>
  <c r="S116" i="28" s="1"/>
  <c r="S115" i="28"/>
  <c r="R114" i="28"/>
  <c r="Q114" i="28"/>
  <c r="S114" i="28" s="1"/>
  <c r="S113" i="28"/>
  <c r="R113" i="28"/>
  <c r="Q113" i="28"/>
  <c r="O113" i="28"/>
  <c r="N113" i="28"/>
  <c r="S112" i="28"/>
  <c r="R112" i="28"/>
  <c r="Q112" i="28"/>
  <c r="O112" i="28"/>
  <c r="N112" i="28"/>
  <c r="S110" i="28"/>
  <c r="R110" i="28"/>
  <c r="Q110" i="28"/>
  <c r="O110" i="28"/>
  <c r="N110" i="28"/>
  <c r="R109" i="28"/>
  <c r="Q109" i="28"/>
  <c r="O109" i="28"/>
  <c r="O111" i="28" s="1"/>
  <c r="N109" i="28"/>
  <c r="S108" i="28"/>
  <c r="S107" i="28"/>
  <c r="R107" i="28"/>
  <c r="S106" i="28"/>
  <c r="R106" i="28"/>
  <c r="S105" i="28"/>
  <c r="R105" i="28"/>
  <c r="Q104" i="28"/>
  <c r="N104" i="28"/>
  <c r="S103" i="28"/>
  <c r="R103" i="28"/>
  <c r="Q103" i="28"/>
  <c r="O103" i="28"/>
  <c r="N103" i="28"/>
  <c r="O102" i="28"/>
  <c r="N102" i="28"/>
  <c r="N101" i="28"/>
  <c r="S99" i="28"/>
  <c r="R99" i="28"/>
  <c r="S98" i="28"/>
  <c r="R98" i="28"/>
  <c r="S97" i="28"/>
  <c r="S96" i="28"/>
  <c r="R95" i="28"/>
  <c r="Q95" i="28"/>
  <c r="S95" i="28" s="1"/>
  <c r="S94" i="28"/>
  <c r="S93" i="28"/>
  <c r="S92" i="28"/>
  <c r="R91" i="28"/>
  <c r="N91" i="28"/>
  <c r="N100" i="28" s="1"/>
  <c r="R90" i="28"/>
  <c r="Q90" i="28"/>
  <c r="S90" i="28" s="1"/>
  <c r="S89" i="28"/>
  <c r="R89" i="28"/>
  <c r="R88" i="28"/>
  <c r="Q88" i="28"/>
  <c r="S88" i="28" s="1"/>
  <c r="R87" i="28"/>
  <c r="Q87" i="28"/>
  <c r="S87" i="28" s="1"/>
  <c r="R86" i="28"/>
  <c r="Q86" i="28"/>
  <c r="S86" i="28" s="1"/>
  <c r="R85" i="28"/>
  <c r="Q85" i="28"/>
  <c r="S85" i="28" s="1"/>
  <c r="S84" i="28"/>
  <c r="S83" i="28"/>
  <c r="O82" i="28"/>
  <c r="S82" i="28" s="1"/>
  <c r="S81" i="28"/>
  <c r="S80" i="28"/>
  <c r="S79" i="28"/>
  <c r="R78" i="28"/>
  <c r="Q78" i="28"/>
  <c r="R77" i="28"/>
  <c r="Q77" i="28"/>
  <c r="S77" i="28" s="1"/>
  <c r="O76" i="28"/>
  <c r="O101" i="28" s="1"/>
  <c r="O75" i="28"/>
  <c r="S75" i="28" s="1"/>
  <c r="S74" i="28"/>
  <c r="R73" i="28"/>
  <c r="R100" i="28" s="1"/>
  <c r="Q73" i="28"/>
  <c r="Q100" i="28" s="1"/>
  <c r="S72" i="28"/>
  <c r="R72" i="28"/>
  <c r="S71" i="28"/>
  <c r="R71" i="28"/>
  <c r="Q71" i="28"/>
  <c r="O71" i="28"/>
  <c r="N71" i="28"/>
  <c r="O70" i="28"/>
  <c r="N70" i="28"/>
  <c r="O69" i="28"/>
  <c r="N69" i="28"/>
  <c r="O68" i="28"/>
  <c r="N68" i="28"/>
  <c r="S67" i="28"/>
  <c r="R67" i="28"/>
  <c r="R66" i="28"/>
  <c r="Q66" i="28"/>
  <c r="S66" i="28" s="1"/>
  <c r="R65" i="28"/>
  <c r="Q65" i="28"/>
  <c r="S65" i="28" s="1"/>
  <c r="R64" i="28"/>
  <c r="Q64" i="28"/>
  <c r="S64" i="28" s="1"/>
  <c r="R63" i="28"/>
  <c r="R68" i="28" s="1"/>
  <c r="Q63" i="28"/>
  <c r="S63" i="28" s="1"/>
  <c r="J63" i="28"/>
  <c r="S62" i="28"/>
  <c r="S61" i="28"/>
  <c r="R61" i="28"/>
  <c r="Q61" i="28"/>
  <c r="S60" i="28"/>
  <c r="R60" i="28"/>
  <c r="Q60" i="28"/>
  <c r="O60" i="28"/>
  <c r="N60" i="28"/>
  <c r="S59" i="28"/>
  <c r="R59" i="28"/>
  <c r="Q59" i="28"/>
  <c r="O59" i="28"/>
  <c r="N59" i="28"/>
  <c r="O58" i="28"/>
  <c r="N58" i="28"/>
  <c r="O57" i="28"/>
  <c r="N57" i="28"/>
  <c r="R56" i="28"/>
  <c r="Q56" i="28"/>
  <c r="S56" i="28" s="1"/>
  <c r="J56" i="28"/>
  <c r="S55" i="28"/>
  <c r="R55" i="28"/>
  <c r="Q55" i="28"/>
  <c r="J55" i="28"/>
  <c r="Q54" i="28"/>
  <c r="S54" i="28" s="1"/>
  <c r="J54" i="28"/>
  <c r="R53" i="28"/>
  <c r="Q53" i="28"/>
  <c r="S52" i="28"/>
  <c r="R52" i="28"/>
  <c r="Q52" i="28"/>
  <c r="G52" i="28"/>
  <c r="J52" i="28" s="1"/>
  <c r="R51" i="28"/>
  <c r="Q51" i="28"/>
  <c r="J51" i="28"/>
  <c r="O50" i="28"/>
  <c r="O143" i="28" s="1"/>
  <c r="N50" i="28"/>
  <c r="N143" i="28" s="1"/>
  <c r="O49" i="28"/>
  <c r="N49" i="28"/>
  <c r="O48" i="28"/>
  <c r="N47" i="28"/>
  <c r="N46" i="28"/>
  <c r="S45" i="28"/>
  <c r="R45" i="28"/>
  <c r="S44" i="28"/>
  <c r="R44" i="28"/>
  <c r="R43" i="28"/>
  <c r="Q43" i="28"/>
  <c r="O43" i="28"/>
  <c r="O47" i="28" s="1"/>
  <c r="R42" i="28"/>
  <c r="Q42" i="28"/>
  <c r="S42" i="28" s="1"/>
  <c r="R41" i="28"/>
  <c r="Q41" i="28"/>
  <c r="S41" i="28" s="1"/>
  <c r="R40" i="28"/>
  <c r="Q40" i="28"/>
  <c r="S40" i="28" s="1"/>
  <c r="R39" i="28"/>
  <c r="Q39" i="28"/>
  <c r="S39" i="28" s="1"/>
  <c r="R38" i="28"/>
  <c r="Q38" i="28"/>
  <c r="S38" i="28" s="1"/>
  <c r="R37" i="28"/>
  <c r="Q37" i="28"/>
  <c r="S37" i="28" s="1"/>
  <c r="J37" i="28"/>
  <c r="Q36" i="28"/>
  <c r="S36" i="28" s="1"/>
  <c r="J36" i="28"/>
  <c r="Q35" i="28"/>
  <c r="S35" i="28" s="1"/>
  <c r="J35" i="28"/>
  <c r="Q34" i="28"/>
  <c r="S34" i="28" s="1"/>
  <c r="J34" i="28"/>
  <c r="R33" i="28"/>
  <c r="Q33" i="28"/>
  <c r="S33" i="28" s="1"/>
  <c r="I33" i="28"/>
  <c r="G33" i="28"/>
  <c r="F33" i="28"/>
  <c r="R32" i="28"/>
  <c r="Q32" i="28"/>
  <c r="S32" i="28" s="1"/>
  <c r="R31" i="28"/>
  <c r="Q31" i="28"/>
  <c r="S31" i="28" s="1"/>
  <c r="J31" i="28"/>
  <c r="R30" i="28"/>
  <c r="Q30" i="28"/>
  <c r="S30" i="28" s="1"/>
  <c r="R29" i="28"/>
  <c r="Q29" i="28"/>
  <c r="S29" i="28" s="1"/>
  <c r="I29" i="28"/>
  <c r="G29" i="28"/>
  <c r="J29" i="28" s="1"/>
  <c r="F29" i="28"/>
  <c r="R28" i="28"/>
  <c r="Q28" i="28"/>
  <c r="S28" i="28" s="1"/>
  <c r="R27" i="28"/>
  <c r="Q27" i="28"/>
  <c r="S27" i="28" s="1"/>
  <c r="J27" i="28"/>
  <c r="R26" i="28"/>
  <c r="Q26" i="28"/>
  <c r="S26" i="28" s="1"/>
  <c r="R25" i="28"/>
  <c r="Q25" i="28"/>
  <c r="S25" i="28" s="1"/>
  <c r="R24" i="28"/>
  <c r="Q24" i="28"/>
  <c r="S24" i="28" s="1"/>
  <c r="R23" i="28"/>
  <c r="R50" i="28" s="1"/>
  <c r="R143" i="28" s="1"/>
  <c r="Q23" i="28"/>
  <c r="Q50" i="28" s="1"/>
  <c r="Q143" i="28" s="1"/>
  <c r="G23" i="28"/>
  <c r="J23" i="28" s="1"/>
  <c r="S22" i="28"/>
  <c r="R22" i="28"/>
  <c r="S21" i="28"/>
  <c r="R21" i="28"/>
  <c r="S20" i="28"/>
  <c r="R20" i="28"/>
  <c r="S19" i="28"/>
  <c r="R19" i="28"/>
  <c r="J19" i="28"/>
  <c r="S18" i="28"/>
  <c r="R18" i="28"/>
  <c r="S17" i="28"/>
  <c r="R17" i="28"/>
  <c r="N17" i="28"/>
  <c r="J17" i="28"/>
  <c r="R16" i="28"/>
  <c r="Q16" i="28"/>
  <c r="S16" i="28" s="1"/>
  <c r="R15" i="28"/>
  <c r="Q15" i="28"/>
  <c r="S15" i="28" s="1"/>
  <c r="N15" i="28"/>
  <c r="G15" i="28"/>
  <c r="J15" i="28" s="1"/>
  <c r="S14" i="28"/>
  <c r="S13" i="28"/>
  <c r="R13" i="28"/>
  <c r="S12" i="28"/>
  <c r="S11" i="28"/>
  <c r="S10" i="28"/>
  <c r="R10" i="28"/>
  <c r="R9" i="28"/>
  <c r="O9" i="28"/>
  <c r="J9" i="28"/>
  <c r="S8" i="28"/>
  <c r="R8" i="28"/>
  <c r="J8" i="28"/>
  <c r="R7" i="28"/>
  <c r="Q7" i="28"/>
  <c r="S7" i="28" s="1"/>
  <c r="J7" i="28"/>
  <c r="R6" i="28"/>
  <c r="Q6" i="28"/>
  <c r="S6" i="28" s="1"/>
  <c r="J6" i="28"/>
  <c r="Q5" i="28"/>
  <c r="O5" i="28"/>
  <c r="J5" i="28"/>
  <c r="Q58" i="28" l="1"/>
  <c r="R69" i="28"/>
  <c r="Q111" i="28"/>
  <c r="S109" i="28"/>
  <c r="S121" i="28"/>
  <c r="R57" i="28"/>
  <c r="R102" i="28"/>
  <c r="S73" i="28"/>
  <c r="O136" i="28"/>
  <c r="O140" i="28" s="1"/>
  <c r="O46" i="28"/>
  <c r="Q102" i="28"/>
  <c r="O91" i="28"/>
  <c r="S91" i="28" s="1"/>
  <c r="O141" i="28"/>
  <c r="N48" i="28"/>
  <c r="N141" i="28" s="1"/>
  <c r="R48" i="28"/>
  <c r="R49" i="28"/>
  <c r="R142" i="28" s="1"/>
  <c r="S43" i="28"/>
  <c r="S47" i="28" s="1"/>
  <c r="Q69" i="28"/>
  <c r="N111" i="28"/>
  <c r="N136" i="28"/>
  <c r="S144" i="28"/>
  <c r="S117" i="28"/>
  <c r="J33" i="28"/>
  <c r="R47" i="28"/>
  <c r="S23" i="28"/>
  <c r="N142" i="28"/>
  <c r="R58" i="28"/>
  <c r="S69" i="28"/>
  <c r="Q70" i="28"/>
  <c r="Q101" i="28"/>
  <c r="R111" i="28"/>
  <c r="S5" i="28"/>
  <c r="R46" i="28"/>
  <c r="R139" i="28" s="1"/>
  <c r="Q47" i="28"/>
  <c r="Q49" i="28"/>
  <c r="Q142" i="28" s="1"/>
  <c r="O142" i="28"/>
  <c r="Q57" i="28"/>
  <c r="S53" i="28"/>
  <c r="R70" i="28"/>
  <c r="R101" i="28"/>
  <c r="S78" i="28"/>
  <c r="S104" i="28"/>
  <c r="R136" i="28"/>
  <c r="S124" i="28"/>
  <c r="S70" i="28"/>
  <c r="S48" i="28"/>
  <c r="S68" i="28"/>
  <c r="S49" i="28"/>
  <c r="S142" i="28" s="1"/>
  <c r="N139" i="28"/>
  <c r="S58" i="28"/>
  <c r="Q68" i="28"/>
  <c r="Q48" i="28"/>
  <c r="Q141" i="28" s="1"/>
  <c r="Q46" i="28"/>
  <c r="S9" i="28"/>
  <c r="S51" i="28"/>
  <c r="Q136" i="28"/>
  <c r="S76" i="28"/>
  <c r="R141" i="28" l="1"/>
  <c r="N140" i="28"/>
  <c r="S136" i="28"/>
  <c r="R140" i="28"/>
  <c r="S100" i="28"/>
  <c r="O100" i="28"/>
  <c r="O139" i="28" s="1"/>
  <c r="S50" i="28"/>
  <c r="S143" i="28" s="1"/>
  <c r="S46" i="28"/>
  <c r="Q140" i="28"/>
  <c r="Q139" i="28"/>
  <c r="S102" i="28"/>
  <c r="S141" i="28" s="1"/>
  <c r="S111" i="28"/>
  <c r="S57" i="28"/>
  <c r="S101" i="28"/>
  <c r="S140" i="28" l="1"/>
  <c r="S139" i="28"/>
  <c r="I144" i="27" l="1"/>
  <c r="H144" i="27"/>
  <c r="J143" i="27"/>
  <c r="J142" i="27"/>
  <c r="J141" i="27"/>
  <c r="J140" i="27"/>
  <c r="J139" i="27"/>
  <c r="M138" i="27"/>
  <c r="L138" i="27"/>
  <c r="K138" i="27"/>
  <c r="I138" i="27"/>
  <c r="H138" i="27"/>
  <c r="M137" i="27"/>
  <c r="L137" i="27"/>
  <c r="K137" i="27"/>
  <c r="I137" i="27"/>
  <c r="H137" i="27"/>
  <c r="M135" i="27"/>
  <c r="L135" i="27"/>
  <c r="K135" i="27"/>
  <c r="I135" i="27"/>
  <c r="H135" i="27"/>
  <c r="M134" i="27"/>
  <c r="M133" i="27"/>
  <c r="L133" i="27"/>
  <c r="L132" i="27"/>
  <c r="K132" i="27"/>
  <c r="M132" i="27" s="1"/>
  <c r="M131" i="27"/>
  <c r="L131" i="27"/>
  <c r="M130" i="27"/>
  <c r="L130" i="27"/>
  <c r="M129" i="27"/>
  <c r="L129" i="27"/>
  <c r="L128" i="27"/>
  <c r="K128" i="27"/>
  <c r="M128" i="27" s="1"/>
  <c r="M127" i="27"/>
  <c r="L127" i="27"/>
  <c r="K127" i="27"/>
  <c r="L126" i="27"/>
  <c r="I126" i="27"/>
  <c r="M126" i="27" s="1"/>
  <c r="M125" i="27"/>
  <c r="L125" i="27"/>
  <c r="L124" i="27"/>
  <c r="K124" i="27"/>
  <c r="I124" i="27"/>
  <c r="H124" i="27"/>
  <c r="L123" i="27"/>
  <c r="K123" i="27"/>
  <c r="M123" i="27" s="1"/>
  <c r="M122" i="27"/>
  <c r="L122" i="27"/>
  <c r="L121" i="27"/>
  <c r="K121" i="27"/>
  <c r="I121" i="27"/>
  <c r="M120" i="27"/>
  <c r="L120" i="27"/>
  <c r="M119" i="27"/>
  <c r="L119" i="27"/>
  <c r="M118" i="27"/>
  <c r="I117" i="27"/>
  <c r="M117" i="27" s="1"/>
  <c r="H117" i="27"/>
  <c r="L116" i="27"/>
  <c r="K116" i="27"/>
  <c r="M116" i="27" s="1"/>
  <c r="M115" i="27"/>
  <c r="L114" i="27"/>
  <c r="K114" i="27"/>
  <c r="M114" i="27" s="1"/>
  <c r="M113" i="27"/>
  <c r="L113" i="27"/>
  <c r="K113" i="27"/>
  <c r="I113" i="27"/>
  <c r="H113" i="27"/>
  <c r="M112" i="27"/>
  <c r="L112" i="27"/>
  <c r="K112" i="27"/>
  <c r="I112" i="27"/>
  <c r="H112" i="27"/>
  <c r="M110" i="27"/>
  <c r="L110" i="27"/>
  <c r="K110" i="27"/>
  <c r="I110" i="27"/>
  <c r="H110" i="27"/>
  <c r="L109" i="27"/>
  <c r="K109" i="27"/>
  <c r="I109" i="27"/>
  <c r="I111" i="27" s="1"/>
  <c r="H109" i="27"/>
  <c r="M108" i="27"/>
  <c r="M107" i="27"/>
  <c r="L107" i="27"/>
  <c r="M106" i="27"/>
  <c r="L106" i="27"/>
  <c r="M105" i="27"/>
  <c r="L105" i="27"/>
  <c r="K104" i="27"/>
  <c r="M104" i="27" s="1"/>
  <c r="H104" i="27"/>
  <c r="M103" i="27"/>
  <c r="L103" i="27"/>
  <c r="K103" i="27"/>
  <c r="I103" i="27"/>
  <c r="H103" i="27"/>
  <c r="I102" i="27"/>
  <c r="H102" i="27"/>
  <c r="H101" i="27"/>
  <c r="M99" i="27"/>
  <c r="L99" i="27"/>
  <c r="M98" i="27"/>
  <c r="L98" i="27"/>
  <c r="M97" i="27"/>
  <c r="M96" i="27"/>
  <c r="L95" i="27"/>
  <c r="K95" i="27"/>
  <c r="M95" i="27" s="1"/>
  <c r="M94" i="27"/>
  <c r="M93" i="27"/>
  <c r="M92" i="27"/>
  <c r="L91" i="27"/>
  <c r="H91" i="27"/>
  <c r="H100" i="27" s="1"/>
  <c r="K90" i="27"/>
  <c r="M90" i="27" s="1"/>
  <c r="M89" i="27"/>
  <c r="L89" i="27"/>
  <c r="L88" i="27"/>
  <c r="K88" i="27"/>
  <c r="M88" i="27" s="1"/>
  <c r="L87" i="27"/>
  <c r="K87" i="27"/>
  <c r="L86" i="27"/>
  <c r="K86" i="27"/>
  <c r="M86" i="27" s="1"/>
  <c r="L85" i="27"/>
  <c r="K85" i="27"/>
  <c r="M85" i="27" s="1"/>
  <c r="M84" i="27"/>
  <c r="M83" i="27"/>
  <c r="I82" i="27"/>
  <c r="M82" i="27" s="1"/>
  <c r="M81" i="27"/>
  <c r="M80" i="27"/>
  <c r="M79" i="27"/>
  <c r="L78" i="27"/>
  <c r="K78" i="27"/>
  <c r="L77" i="27"/>
  <c r="K77" i="27"/>
  <c r="M77" i="27" s="1"/>
  <c r="I76" i="27"/>
  <c r="I101" i="27" s="1"/>
  <c r="I75" i="27"/>
  <c r="M75" i="27" s="1"/>
  <c r="M74" i="27"/>
  <c r="L73" i="27"/>
  <c r="K73" i="27"/>
  <c r="K100" i="27" s="1"/>
  <c r="M72" i="27"/>
  <c r="L72" i="27"/>
  <c r="M71" i="27"/>
  <c r="L71" i="27"/>
  <c r="K71" i="27"/>
  <c r="I71" i="27"/>
  <c r="H71" i="27"/>
  <c r="I70" i="27"/>
  <c r="H70" i="27"/>
  <c r="I69" i="27"/>
  <c r="H69" i="27"/>
  <c r="I68" i="27"/>
  <c r="H68" i="27"/>
  <c r="M67" i="27"/>
  <c r="L67" i="27"/>
  <c r="L66" i="27"/>
  <c r="K66" i="27"/>
  <c r="M66" i="27" s="1"/>
  <c r="L65" i="27"/>
  <c r="K65" i="27"/>
  <c r="M65" i="27" s="1"/>
  <c r="L64" i="27"/>
  <c r="K64" i="27"/>
  <c r="L63" i="27"/>
  <c r="L68" i="27" s="1"/>
  <c r="K63" i="27"/>
  <c r="M63" i="27" s="1"/>
  <c r="M62" i="27"/>
  <c r="L61" i="27"/>
  <c r="K61" i="27"/>
  <c r="M60" i="27"/>
  <c r="L60" i="27"/>
  <c r="K60" i="27"/>
  <c r="I60" i="27"/>
  <c r="H60" i="27"/>
  <c r="M59" i="27"/>
  <c r="L59" i="27"/>
  <c r="K59" i="27"/>
  <c r="I59" i="27"/>
  <c r="H59" i="27"/>
  <c r="I58" i="27"/>
  <c r="H58" i="27"/>
  <c r="I57" i="27"/>
  <c r="H57" i="27"/>
  <c r="L56" i="27"/>
  <c r="K56" i="27"/>
  <c r="M56" i="27" s="1"/>
  <c r="L55" i="27"/>
  <c r="K55" i="27"/>
  <c r="M55" i="27" s="1"/>
  <c r="L54" i="27"/>
  <c r="K54" i="27"/>
  <c r="M54" i="27" s="1"/>
  <c r="L53" i="27"/>
  <c r="K53" i="27"/>
  <c r="L52" i="27"/>
  <c r="K52" i="27"/>
  <c r="M52" i="27" s="1"/>
  <c r="L51" i="27"/>
  <c r="K51" i="27"/>
  <c r="I50" i="27"/>
  <c r="I143" i="27" s="1"/>
  <c r="H50" i="27"/>
  <c r="H143" i="27" s="1"/>
  <c r="I49" i="27"/>
  <c r="H49" i="27"/>
  <c r="I48" i="27"/>
  <c r="H47" i="27"/>
  <c r="H46" i="27"/>
  <c r="M45" i="27"/>
  <c r="L45" i="27"/>
  <c r="M44" i="27"/>
  <c r="L44" i="27"/>
  <c r="L43" i="27"/>
  <c r="K43" i="27"/>
  <c r="I43" i="27"/>
  <c r="I47" i="27" s="1"/>
  <c r="L42" i="27"/>
  <c r="K42" i="27"/>
  <c r="M42" i="27" s="1"/>
  <c r="L41" i="27"/>
  <c r="K41" i="27"/>
  <c r="M41" i="27" s="1"/>
  <c r="L40" i="27"/>
  <c r="K40" i="27"/>
  <c r="M40" i="27" s="1"/>
  <c r="L39" i="27"/>
  <c r="K39" i="27"/>
  <c r="M39" i="27" s="1"/>
  <c r="L38" i="27"/>
  <c r="K38" i="27"/>
  <c r="M38" i="27" s="1"/>
  <c r="L37" i="27"/>
  <c r="K37" i="27"/>
  <c r="M37" i="27" s="1"/>
  <c r="K36" i="27"/>
  <c r="M36" i="27" s="1"/>
  <c r="K35" i="27"/>
  <c r="M35" i="27" s="1"/>
  <c r="K34" i="27"/>
  <c r="M34" i="27" s="1"/>
  <c r="L33" i="27"/>
  <c r="K33" i="27"/>
  <c r="M33" i="27" s="1"/>
  <c r="L32" i="27"/>
  <c r="K32" i="27"/>
  <c r="M32" i="27" s="1"/>
  <c r="L31" i="27"/>
  <c r="K31" i="27"/>
  <c r="M31" i="27" s="1"/>
  <c r="L30" i="27"/>
  <c r="K30" i="27"/>
  <c r="M30" i="27" s="1"/>
  <c r="L29" i="27"/>
  <c r="K29" i="27"/>
  <c r="M29" i="27" s="1"/>
  <c r="L28" i="27"/>
  <c r="K28" i="27"/>
  <c r="M28" i="27" s="1"/>
  <c r="L27" i="27"/>
  <c r="K27" i="27"/>
  <c r="M27" i="27" s="1"/>
  <c r="L26" i="27"/>
  <c r="K26" i="27"/>
  <c r="M26" i="27" s="1"/>
  <c r="L25" i="27"/>
  <c r="K25" i="27"/>
  <c r="M25" i="27" s="1"/>
  <c r="L24" i="27"/>
  <c r="K24" i="27"/>
  <c r="M24" i="27" s="1"/>
  <c r="L23" i="27"/>
  <c r="K23" i="27"/>
  <c r="M23" i="27" s="1"/>
  <c r="M22" i="27"/>
  <c r="L22" i="27"/>
  <c r="M21" i="27"/>
  <c r="L21" i="27"/>
  <c r="M20" i="27"/>
  <c r="L20" i="27"/>
  <c r="M19" i="27"/>
  <c r="L19" i="27"/>
  <c r="M18" i="27"/>
  <c r="L18" i="27"/>
  <c r="M17" i="27"/>
  <c r="L17" i="27"/>
  <c r="H17" i="27"/>
  <c r="L16" i="27"/>
  <c r="K16" i="27"/>
  <c r="L15" i="27"/>
  <c r="K15" i="27"/>
  <c r="M15" i="27" s="1"/>
  <c r="H15" i="27"/>
  <c r="M14" i="27"/>
  <c r="M13" i="27"/>
  <c r="L13" i="27"/>
  <c r="M12" i="27"/>
  <c r="M11" i="27"/>
  <c r="M10" i="27"/>
  <c r="L10" i="27"/>
  <c r="L9" i="27"/>
  <c r="I9" i="27"/>
  <c r="M8" i="27"/>
  <c r="L8" i="27"/>
  <c r="L7" i="27"/>
  <c r="K7" i="27"/>
  <c r="M7" i="27" s="1"/>
  <c r="L6" i="27"/>
  <c r="K6" i="27"/>
  <c r="M6" i="27" s="1"/>
  <c r="K5" i="27"/>
  <c r="I5" i="27"/>
  <c r="M49" i="27" l="1"/>
  <c r="M142" i="27" s="1"/>
  <c r="I141" i="27"/>
  <c r="L58" i="27"/>
  <c r="L100" i="27"/>
  <c r="H111" i="27"/>
  <c r="K47" i="27"/>
  <c r="H142" i="27"/>
  <c r="L101" i="27"/>
  <c r="K70" i="27"/>
  <c r="K102" i="27"/>
  <c r="K58" i="27"/>
  <c r="M124" i="27"/>
  <c r="H48" i="27"/>
  <c r="H141" i="27" s="1"/>
  <c r="L49" i="27"/>
  <c r="L142" i="27" s="1"/>
  <c r="L46" i="27"/>
  <c r="M16" i="27"/>
  <c r="H139" i="27"/>
  <c r="K57" i="27"/>
  <c r="K101" i="27"/>
  <c r="I91" i="27"/>
  <c r="M91" i="27" s="1"/>
  <c r="L111" i="27"/>
  <c r="L136" i="27"/>
  <c r="L50" i="27"/>
  <c r="L143" i="27" s="1"/>
  <c r="L69" i="27"/>
  <c r="M73" i="27"/>
  <c r="M109" i="27"/>
  <c r="I136" i="27"/>
  <c r="I140" i="27" s="1"/>
  <c r="M121" i="27"/>
  <c r="M136" i="27" s="1"/>
  <c r="K50" i="27"/>
  <c r="K143" i="27" s="1"/>
  <c r="M53" i="27"/>
  <c r="M58" i="27" s="1"/>
  <c r="K69" i="27"/>
  <c r="M64" i="27"/>
  <c r="M70" i="27" s="1"/>
  <c r="M76" i="27"/>
  <c r="M5" i="27"/>
  <c r="K49" i="27"/>
  <c r="K142" i="27" s="1"/>
  <c r="I142" i="27"/>
  <c r="M87" i="27"/>
  <c r="K46" i="27"/>
  <c r="L47" i="27"/>
  <c r="L48" i="27"/>
  <c r="K68" i="27"/>
  <c r="L102" i="27"/>
  <c r="M144" i="27"/>
  <c r="L57" i="27"/>
  <c r="L70" i="27"/>
  <c r="H136" i="27"/>
  <c r="H140" i="27" s="1"/>
  <c r="M9" i="27"/>
  <c r="I46" i="27"/>
  <c r="M68" i="27"/>
  <c r="M48" i="27"/>
  <c r="M111" i="27"/>
  <c r="M43" i="27"/>
  <c r="M50" i="27"/>
  <c r="M143" i="27" s="1"/>
  <c r="K111" i="27"/>
  <c r="K48" i="27"/>
  <c r="K141" i="27" s="1"/>
  <c r="M51" i="27"/>
  <c r="M61" i="27"/>
  <c r="M78" i="27"/>
  <c r="K136" i="27"/>
  <c r="H4" i="20"/>
  <c r="I100" i="27" l="1"/>
  <c r="I139" i="27" s="1"/>
  <c r="M100" i="27"/>
  <c r="L139" i="27"/>
  <c r="L140" i="27"/>
  <c r="K139" i="27"/>
  <c r="M101" i="27"/>
  <c r="K140" i="27"/>
  <c r="M47" i="27"/>
  <c r="L141" i="27"/>
  <c r="M46" i="27"/>
  <c r="M69" i="27"/>
  <c r="M57" i="27"/>
  <c r="M102" i="27"/>
  <c r="M141" i="27" s="1"/>
  <c r="M140" i="27" l="1"/>
  <c r="M139" i="27"/>
  <c r="I144" i="26"/>
  <c r="H144" i="26"/>
  <c r="J143" i="26"/>
  <c r="J142" i="26"/>
  <c r="J141" i="26"/>
  <c r="J140" i="26"/>
  <c r="J139" i="26"/>
  <c r="M138" i="26"/>
  <c r="L138" i="26"/>
  <c r="K138" i="26"/>
  <c r="I138" i="26"/>
  <c r="H138" i="26"/>
  <c r="M137" i="26"/>
  <c r="L137" i="26"/>
  <c r="K137" i="26"/>
  <c r="I137" i="26"/>
  <c r="H137" i="26"/>
  <c r="M135" i="26"/>
  <c r="L135" i="26"/>
  <c r="K135" i="26"/>
  <c r="I135" i="26"/>
  <c r="H135" i="26"/>
  <c r="M134" i="26"/>
  <c r="M133" i="26"/>
  <c r="L133" i="26"/>
  <c r="L132" i="26"/>
  <c r="K132" i="26"/>
  <c r="M132" i="26" s="1"/>
  <c r="M131" i="26"/>
  <c r="L131" i="26"/>
  <c r="M130" i="26"/>
  <c r="L130" i="26"/>
  <c r="M129" i="26"/>
  <c r="L129" i="26"/>
  <c r="L128" i="26"/>
  <c r="K128" i="26"/>
  <c r="M128" i="26" s="1"/>
  <c r="L127" i="26"/>
  <c r="M127" i="26" s="1"/>
  <c r="K127" i="26"/>
  <c r="L126" i="26"/>
  <c r="I126" i="26"/>
  <c r="M125" i="26"/>
  <c r="L125" i="26"/>
  <c r="L124" i="26"/>
  <c r="K124" i="26"/>
  <c r="I124" i="26"/>
  <c r="H124" i="26"/>
  <c r="L123" i="26"/>
  <c r="K123" i="26"/>
  <c r="M123" i="26" s="1"/>
  <c r="M122" i="26"/>
  <c r="L122" i="26"/>
  <c r="L121" i="26"/>
  <c r="K121" i="26"/>
  <c r="I121" i="26"/>
  <c r="M120" i="26"/>
  <c r="L120" i="26"/>
  <c r="M119" i="26"/>
  <c r="L119" i="26"/>
  <c r="M118" i="26"/>
  <c r="I117" i="26"/>
  <c r="M117" i="26" s="1"/>
  <c r="H117" i="26"/>
  <c r="L116" i="26"/>
  <c r="K116" i="26"/>
  <c r="M116" i="26" s="1"/>
  <c r="M115" i="26"/>
  <c r="L114" i="26"/>
  <c r="K114" i="26"/>
  <c r="M114" i="26" s="1"/>
  <c r="M113" i="26"/>
  <c r="L113" i="26"/>
  <c r="K113" i="26"/>
  <c r="I113" i="26"/>
  <c r="H113" i="26"/>
  <c r="M112" i="26"/>
  <c r="L112" i="26"/>
  <c r="K112" i="26"/>
  <c r="I112" i="26"/>
  <c r="H112" i="26"/>
  <c r="M110" i="26"/>
  <c r="L110" i="26"/>
  <c r="K110" i="26"/>
  <c r="I110" i="26"/>
  <c r="H110" i="26"/>
  <c r="L109" i="26"/>
  <c r="K109" i="26"/>
  <c r="I109" i="26"/>
  <c r="I111" i="26" s="1"/>
  <c r="H109" i="26"/>
  <c r="M108" i="26"/>
  <c r="M107" i="26"/>
  <c r="L107" i="26"/>
  <c r="M106" i="26"/>
  <c r="L106" i="26"/>
  <c r="M105" i="26"/>
  <c r="L105" i="26"/>
  <c r="K104" i="26"/>
  <c r="M104" i="26" s="1"/>
  <c r="H104" i="26"/>
  <c r="M103" i="26"/>
  <c r="L103" i="26"/>
  <c r="K103" i="26"/>
  <c r="I103" i="26"/>
  <c r="H103" i="26"/>
  <c r="I102" i="26"/>
  <c r="H102" i="26"/>
  <c r="H101" i="26"/>
  <c r="M99" i="26"/>
  <c r="L99" i="26"/>
  <c r="M98" i="26"/>
  <c r="L98" i="26"/>
  <c r="M97" i="26"/>
  <c r="M96" i="26"/>
  <c r="L95" i="26"/>
  <c r="K95" i="26"/>
  <c r="M95" i="26" s="1"/>
  <c r="M94" i="26"/>
  <c r="M93" i="26"/>
  <c r="M92" i="26"/>
  <c r="L91" i="26"/>
  <c r="H91" i="26"/>
  <c r="H100" i="26" s="1"/>
  <c r="L90" i="26"/>
  <c r="K90" i="26"/>
  <c r="M90" i="26" s="1"/>
  <c r="M89" i="26"/>
  <c r="L89" i="26"/>
  <c r="L88" i="26"/>
  <c r="K88" i="26"/>
  <c r="M88" i="26" s="1"/>
  <c r="L87" i="26"/>
  <c r="K87" i="26"/>
  <c r="M87" i="26" s="1"/>
  <c r="L86" i="26"/>
  <c r="K86" i="26"/>
  <c r="M85" i="26"/>
  <c r="L85" i="26"/>
  <c r="K85" i="26"/>
  <c r="M84" i="26"/>
  <c r="M83" i="26"/>
  <c r="I82" i="26"/>
  <c r="M82" i="26" s="1"/>
  <c r="M81" i="26"/>
  <c r="M80" i="26"/>
  <c r="M79" i="26"/>
  <c r="L78" i="26"/>
  <c r="K78" i="26"/>
  <c r="M78" i="26" s="1"/>
  <c r="L77" i="26"/>
  <c r="K77" i="26"/>
  <c r="M77" i="26" s="1"/>
  <c r="I76" i="26"/>
  <c r="I75" i="26"/>
  <c r="M75" i="26" s="1"/>
  <c r="M74" i="26"/>
  <c r="L73" i="26"/>
  <c r="K73" i="26"/>
  <c r="K100" i="26" s="1"/>
  <c r="M72" i="26"/>
  <c r="L72" i="26"/>
  <c r="M71" i="26"/>
  <c r="L71" i="26"/>
  <c r="K71" i="26"/>
  <c r="I71" i="26"/>
  <c r="H71" i="26"/>
  <c r="I70" i="26"/>
  <c r="H70" i="26"/>
  <c r="I69" i="26"/>
  <c r="H69" i="26"/>
  <c r="I68" i="26"/>
  <c r="H68" i="26"/>
  <c r="M67" i="26"/>
  <c r="L67" i="26"/>
  <c r="L66" i="26"/>
  <c r="K66" i="26"/>
  <c r="M66" i="26" s="1"/>
  <c r="L65" i="26"/>
  <c r="K65" i="26"/>
  <c r="M65" i="26" s="1"/>
  <c r="L64" i="26"/>
  <c r="K64" i="26"/>
  <c r="M64" i="26" s="1"/>
  <c r="L63" i="26"/>
  <c r="L68" i="26" s="1"/>
  <c r="K63" i="26"/>
  <c r="M62" i="26"/>
  <c r="L61" i="26"/>
  <c r="K61" i="26"/>
  <c r="M60" i="26"/>
  <c r="L60" i="26"/>
  <c r="K60" i="26"/>
  <c r="I60" i="26"/>
  <c r="H60" i="26"/>
  <c r="M59" i="26"/>
  <c r="L59" i="26"/>
  <c r="K59" i="26"/>
  <c r="I59" i="26"/>
  <c r="H59" i="26"/>
  <c r="I58" i="26"/>
  <c r="H58" i="26"/>
  <c r="I57" i="26"/>
  <c r="H57" i="26"/>
  <c r="L56" i="26"/>
  <c r="K56" i="26"/>
  <c r="M56" i="26" s="1"/>
  <c r="L55" i="26"/>
  <c r="K55" i="26"/>
  <c r="M55" i="26" s="1"/>
  <c r="K54" i="26"/>
  <c r="M54" i="26" s="1"/>
  <c r="L53" i="26"/>
  <c r="K53" i="26"/>
  <c r="M53" i="26" s="1"/>
  <c r="L52" i="26"/>
  <c r="K52" i="26"/>
  <c r="M52" i="26" s="1"/>
  <c r="L51" i="26"/>
  <c r="K51" i="26"/>
  <c r="I50" i="26"/>
  <c r="I143" i="26" s="1"/>
  <c r="H50" i="26"/>
  <c r="H143" i="26" s="1"/>
  <c r="I49" i="26"/>
  <c r="H49" i="26"/>
  <c r="I48" i="26"/>
  <c r="H47" i="26"/>
  <c r="H46" i="26"/>
  <c r="M45" i="26"/>
  <c r="L45" i="26"/>
  <c r="M44" i="26"/>
  <c r="L44" i="26"/>
  <c r="L43" i="26"/>
  <c r="K43" i="26"/>
  <c r="I43" i="26"/>
  <c r="I47" i="26" s="1"/>
  <c r="L42" i="26"/>
  <c r="K42" i="26"/>
  <c r="M42" i="26" s="1"/>
  <c r="L41" i="26"/>
  <c r="K41" i="26"/>
  <c r="M41" i="26" s="1"/>
  <c r="L40" i="26"/>
  <c r="K40" i="26"/>
  <c r="M40" i="26" s="1"/>
  <c r="L39" i="26"/>
  <c r="K39" i="26"/>
  <c r="M39" i="26" s="1"/>
  <c r="L38" i="26"/>
  <c r="K38" i="26"/>
  <c r="M38" i="26" s="1"/>
  <c r="L37" i="26"/>
  <c r="K37" i="26"/>
  <c r="M37" i="26" s="1"/>
  <c r="K36" i="26"/>
  <c r="M36" i="26" s="1"/>
  <c r="K35" i="26"/>
  <c r="M35" i="26" s="1"/>
  <c r="K34" i="26"/>
  <c r="M34" i="26" s="1"/>
  <c r="L33" i="26"/>
  <c r="K33" i="26"/>
  <c r="M33" i="26" s="1"/>
  <c r="L32" i="26"/>
  <c r="K32" i="26"/>
  <c r="M32" i="26" s="1"/>
  <c r="L31" i="26"/>
  <c r="K31" i="26"/>
  <c r="M31" i="26" s="1"/>
  <c r="L30" i="26"/>
  <c r="K30" i="26"/>
  <c r="M30" i="26" s="1"/>
  <c r="L29" i="26"/>
  <c r="K29" i="26"/>
  <c r="L28" i="26"/>
  <c r="K28" i="26"/>
  <c r="M28" i="26" s="1"/>
  <c r="L27" i="26"/>
  <c r="K27" i="26"/>
  <c r="M27" i="26" s="1"/>
  <c r="L26" i="26"/>
  <c r="K26" i="26"/>
  <c r="M26" i="26" s="1"/>
  <c r="L25" i="26"/>
  <c r="K25" i="26"/>
  <c r="M25" i="26" s="1"/>
  <c r="L24" i="26"/>
  <c r="K24" i="26"/>
  <c r="M24" i="26" s="1"/>
  <c r="L23" i="26"/>
  <c r="L50" i="26" s="1"/>
  <c r="L143" i="26" s="1"/>
  <c r="K23" i="26"/>
  <c r="M23" i="26" s="1"/>
  <c r="M22" i="26"/>
  <c r="L22" i="26"/>
  <c r="M21" i="26"/>
  <c r="L21" i="26"/>
  <c r="M20" i="26"/>
  <c r="L20" i="26"/>
  <c r="M19" i="26"/>
  <c r="L19" i="26"/>
  <c r="M18" i="26"/>
  <c r="L18" i="26"/>
  <c r="M17" i="26"/>
  <c r="L17" i="26"/>
  <c r="H17" i="26"/>
  <c r="L16" i="26"/>
  <c r="K16" i="26"/>
  <c r="L15" i="26"/>
  <c r="K15" i="26"/>
  <c r="M15" i="26" s="1"/>
  <c r="H15" i="26"/>
  <c r="M14" i="26"/>
  <c r="M13" i="26"/>
  <c r="L13" i="26"/>
  <c r="M12" i="26"/>
  <c r="M11" i="26"/>
  <c r="M10" i="26"/>
  <c r="L10" i="26"/>
  <c r="L9" i="26"/>
  <c r="I9" i="26"/>
  <c r="M9" i="26" s="1"/>
  <c r="M8" i="26"/>
  <c r="L8" i="26"/>
  <c r="L7" i="26"/>
  <c r="K7" i="26"/>
  <c r="M7" i="26" s="1"/>
  <c r="L6" i="26"/>
  <c r="K6" i="26"/>
  <c r="M6" i="26" s="1"/>
  <c r="K5" i="26"/>
  <c r="I5" i="26"/>
  <c r="K49" i="26" l="1"/>
  <c r="K142" i="26" s="1"/>
  <c r="K69" i="26"/>
  <c r="H136" i="26"/>
  <c r="K46" i="26"/>
  <c r="L69" i="26"/>
  <c r="K70" i="26"/>
  <c r="M43" i="26"/>
  <c r="M61" i="26"/>
  <c r="L100" i="26"/>
  <c r="M109" i="26"/>
  <c r="M121" i="26"/>
  <c r="M124" i="26"/>
  <c r="I91" i="26"/>
  <c r="M91" i="26" s="1"/>
  <c r="K47" i="26"/>
  <c r="L58" i="26"/>
  <c r="I101" i="26"/>
  <c r="H48" i="26"/>
  <c r="H141" i="26" s="1"/>
  <c r="L70" i="26"/>
  <c r="M73" i="26"/>
  <c r="K101" i="26"/>
  <c r="H111" i="26"/>
  <c r="M5" i="26"/>
  <c r="M46" i="26" s="1"/>
  <c r="M48" i="26"/>
  <c r="L111" i="26"/>
  <c r="M16" i="26"/>
  <c r="L102" i="26"/>
  <c r="M144" i="26"/>
  <c r="M29" i="26"/>
  <c r="M49" i="26" s="1"/>
  <c r="M142" i="26" s="1"/>
  <c r="H142" i="26"/>
  <c r="L57" i="26"/>
  <c r="M50" i="26"/>
  <c r="M143" i="26" s="1"/>
  <c r="I46" i="26"/>
  <c r="K57" i="26"/>
  <c r="M51" i="26"/>
  <c r="M126" i="26"/>
  <c r="I136" i="26"/>
  <c r="I140" i="26" s="1"/>
  <c r="I142" i="26"/>
  <c r="M69" i="26"/>
  <c r="H140" i="26"/>
  <c r="I141" i="26"/>
  <c r="M70" i="26"/>
  <c r="K102" i="26"/>
  <c r="M86" i="26"/>
  <c r="L101" i="26"/>
  <c r="M111" i="26"/>
  <c r="L136" i="26"/>
  <c r="L46" i="26"/>
  <c r="K50" i="26"/>
  <c r="K143" i="26" s="1"/>
  <c r="L47" i="26"/>
  <c r="L48" i="26"/>
  <c r="L49" i="26"/>
  <c r="L142" i="26" s="1"/>
  <c r="H139" i="26"/>
  <c r="K48" i="26"/>
  <c r="K58" i="26"/>
  <c r="M63" i="26"/>
  <c r="K68" i="26"/>
  <c r="K139" i="26" s="1"/>
  <c r="M58" i="26"/>
  <c r="K111" i="26"/>
  <c r="I100" i="26"/>
  <c r="K136" i="26"/>
  <c r="M76" i="26"/>
  <c r="M47" i="26" l="1"/>
  <c r="K141" i="26"/>
  <c r="M100" i="26"/>
  <c r="I139" i="26"/>
  <c r="L139" i="26"/>
  <c r="L141" i="26"/>
  <c r="K140" i="26"/>
  <c r="M68" i="26"/>
  <c r="L140" i="26"/>
  <c r="M102" i="26"/>
  <c r="M141" i="26" s="1"/>
  <c r="M136" i="26"/>
  <c r="M57" i="26"/>
  <c r="M101" i="26"/>
  <c r="M140" i="26" l="1"/>
  <c r="M139" i="26"/>
  <c r="O148" i="25" l="1"/>
  <c r="N148" i="25"/>
  <c r="P147" i="25"/>
  <c r="P146" i="25"/>
  <c r="P145" i="25"/>
  <c r="P144" i="25"/>
  <c r="P143" i="25"/>
  <c r="S142" i="25"/>
  <c r="R142" i="25"/>
  <c r="Q142" i="25"/>
  <c r="O142" i="25"/>
  <c r="N142" i="25"/>
  <c r="S141" i="25"/>
  <c r="R141" i="25"/>
  <c r="Q141" i="25"/>
  <c r="O141" i="25"/>
  <c r="N141" i="25"/>
  <c r="S139" i="25"/>
  <c r="R139" i="25"/>
  <c r="Q139" i="25"/>
  <c r="O139" i="25"/>
  <c r="N139" i="25"/>
  <c r="R138" i="25"/>
  <c r="Q138" i="25"/>
  <c r="S138" i="25" s="1"/>
  <c r="R137" i="25"/>
  <c r="Q137" i="25"/>
  <c r="S137" i="25" s="1"/>
  <c r="S136" i="25"/>
  <c r="R136" i="25"/>
  <c r="S135" i="25"/>
  <c r="S134" i="25"/>
  <c r="S133" i="25"/>
  <c r="R133" i="25"/>
  <c r="R132" i="25"/>
  <c r="Q132" i="25"/>
  <c r="S132" i="25" s="1"/>
  <c r="S131" i="25"/>
  <c r="R131" i="25"/>
  <c r="S130" i="25"/>
  <c r="R130" i="25"/>
  <c r="S129" i="25"/>
  <c r="R129" i="25"/>
  <c r="R128" i="25"/>
  <c r="Q128" i="25"/>
  <c r="S128" i="25" s="1"/>
  <c r="R127" i="25"/>
  <c r="S127" i="25" s="1"/>
  <c r="Q127" i="25"/>
  <c r="R126" i="25"/>
  <c r="O126" i="25"/>
  <c r="S126" i="25" s="1"/>
  <c r="S125" i="25"/>
  <c r="R125" i="25"/>
  <c r="R124" i="25"/>
  <c r="Q124" i="25"/>
  <c r="S124" i="25" s="1"/>
  <c r="O124" i="25"/>
  <c r="N124" i="25"/>
  <c r="R123" i="25"/>
  <c r="Q123" i="25"/>
  <c r="S123" i="25" s="1"/>
  <c r="S122" i="25"/>
  <c r="R122" i="25"/>
  <c r="R121" i="25"/>
  <c r="Q121" i="25"/>
  <c r="O121" i="25"/>
  <c r="S120" i="25"/>
  <c r="R120" i="25"/>
  <c r="S119" i="25"/>
  <c r="R119" i="25"/>
  <c r="S118" i="25"/>
  <c r="O117" i="25"/>
  <c r="S117" i="25" s="1"/>
  <c r="N117" i="25"/>
  <c r="R116" i="25"/>
  <c r="Q116" i="25"/>
  <c r="S116" i="25" s="1"/>
  <c r="S115" i="25"/>
  <c r="R114" i="25"/>
  <c r="Q114" i="25"/>
  <c r="S114" i="25" s="1"/>
  <c r="S113" i="25"/>
  <c r="R113" i="25"/>
  <c r="Q113" i="25"/>
  <c r="O113" i="25"/>
  <c r="N113" i="25"/>
  <c r="S112" i="25"/>
  <c r="R112" i="25"/>
  <c r="Q112" i="25"/>
  <c r="O112" i="25"/>
  <c r="N112" i="25"/>
  <c r="S110" i="25"/>
  <c r="R110" i="25"/>
  <c r="Q110" i="25"/>
  <c r="O110" i="25"/>
  <c r="N110" i="25"/>
  <c r="S109" i="25"/>
  <c r="R109" i="25"/>
  <c r="S108" i="25"/>
  <c r="R108" i="25"/>
  <c r="R107" i="25"/>
  <c r="Q107" i="25"/>
  <c r="S107" i="25" s="1"/>
  <c r="S106" i="25"/>
  <c r="R105" i="25"/>
  <c r="Q105" i="25"/>
  <c r="O105" i="25"/>
  <c r="N105" i="25"/>
  <c r="Q104" i="25"/>
  <c r="N104" i="25"/>
  <c r="S103" i="25"/>
  <c r="R103" i="25"/>
  <c r="Q103" i="25"/>
  <c r="O103" i="25"/>
  <c r="N103" i="25"/>
  <c r="O102" i="25"/>
  <c r="N102" i="25"/>
  <c r="N101" i="25"/>
  <c r="S99" i="25"/>
  <c r="R99" i="25"/>
  <c r="S98" i="25"/>
  <c r="R98" i="25"/>
  <c r="S97" i="25"/>
  <c r="R96" i="25"/>
  <c r="Q96" i="25"/>
  <c r="S96" i="25" s="1"/>
  <c r="S95" i="25"/>
  <c r="S94" i="25"/>
  <c r="S93" i="25"/>
  <c r="R92" i="25"/>
  <c r="N92" i="25"/>
  <c r="O92" i="25" s="1"/>
  <c r="S92" i="25" s="1"/>
  <c r="R91" i="25"/>
  <c r="Q91" i="25"/>
  <c r="R90" i="25"/>
  <c r="R89" i="25"/>
  <c r="Q89" i="25"/>
  <c r="S89" i="25" s="1"/>
  <c r="R88" i="25"/>
  <c r="Q88" i="25"/>
  <c r="S88" i="25" s="1"/>
  <c r="R87" i="25"/>
  <c r="Q87" i="25"/>
  <c r="S87" i="25" s="1"/>
  <c r="R86" i="25"/>
  <c r="Q86" i="25"/>
  <c r="S86" i="25" s="1"/>
  <c r="S85" i="25"/>
  <c r="S84" i="25"/>
  <c r="O83" i="25"/>
  <c r="S83" i="25" s="1"/>
  <c r="S82" i="25"/>
  <c r="S81" i="25"/>
  <c r="S80" i="25"/>
  <c r="R79" i="25"/>
  <c r="Q79" i="25"/>
  <c r="R78" i="25"/>
  <c r="Q78" i="25"/>
  <c r="Q101" i="25" s="1"/>
  <c r="O77" i="25"/>
  <c r="S77" i="25" s="1"/>
  <c r="O76" i="25"/>
  <c r="S76" i="25" s="1"/>
  <c r="S75" i="25"/>
  <c r="R74" i="25"/>
  <c r="R100" i="25" s="1"/>
  <c r="Q74" i="25"/>
  <c r="Q100" i="25" s="1"/>
  <c r="S73" i="25"/>
  <c r="R73" i="25"/>
  <c r="S72" i="25"/>
  <c r="R72" i="25"/>
  <c r="Q72" i="25"/>
  <c r="O72" i="25"/>
  <c r="N72" i="25"/>
  <c r="O71" i="25"/>
  <c r="N71" i="25"/>
  <c r="O70" i="25"/>
  <c r="N70" i="25"/>
  <c r="O69" i="25"/>
  <c r="N69" i="25"/>
  <c r="S68" i="25"/>
  <c r="R68" i="25"/>
  <c r="R67" i="25"/>
  <c r="Q67" i="25"/>
  <c r="S67" i="25" s="1"/>
  <c r="R66" i="25"/>
  <c r="Q66" i="25"/>
  <c r="S66" i="25" s="1"/>
  <c r="R65" i="25"/>
  <c r="R71" i="25" s="1"/>
  <c r="Q65" i="25"/>
  <c r="S65" i="25" s="1"/>
  <c r="R64" i="25"/>
  <c r="R69" i="25" s="1"/>
  <c r="Q64" i="25"/>
  <c r="J64" i="25"/>
  <c r="S63" i="25"/>
  <c r="R62" i="25"/>
  <c r="Q62" i="25"/>
  <c r="S62" i="25" s="1"/>
  <c r="S61" i="25"/>
  <c r="R61" i="25"/>
  <c r="Q61" i="25"/>
  <c r="O61" i="25"/>
  <c r="N61" i="25"/>
  <c r="S60" i="25"/>
  <c r="R60" i="25"/>
  <c r="Q60" i="25"/>
  <c r="O60" i="25"/>
  <c r="N60" i="25"/>
  <c r="O59" i="25"/>
  <c r="N59" i="25"/>
  <c r="O58" i="25"/>
  <c r="N58" i="25"/>
  <c r="R57" i="25"/>
  <c r="Q57" i="25"/>
  <c r="S57" i="25" s="1"/>
  <c r="J57" i="25"/>
  <c r="R56" i="25"/>
  <c r="Q56" i="25"/>
  <c r="S56" i="25" s="1"/>
  <c r="J56" i="25"/>
  <c r="Q55" i="25"/>
  <c r="S55" i="25" s="1"/>
  <c r="J55" i="25"/>
  <c r="R54" i="25"/>
  <c r="Q54" i="25"/>
  <c r="S54" i="25" s="1"/>
  <c r="R53" i="25"/>
  <c r="Q53" i="25"/>
  <c r="S53" i="25" s="1"/>
  <c r="G53" i="25"/>
  <c r="J53" i="25" s="1"/>
  <c r="R52" i="25"/>
  <c r="Q52" i="25"/>
  <c r="J52" i="25"/>
  <c r="O51" i="25"/>
  <c r="O147" i="25" s="1"/>
  <c r="N51" i="25"/>
  <c r="N147" i="25" s="1"/>
  <c r="O50" i="25"/>
  <c r="N50" i="25"/>
  <c r="O49" i="25"/>
  <c r="N48" i="25"/>
  <c r="N47" i="25"/>
  <c r="S46" i="25"/>
  <c r="R46" i="25"/>
  <c r="S45" i="25"/>
  <c r="R45" i="25"/>
  <c r="R44" i="25"/>
  <c r="Q44" i="25"/>
  <c r="O44" i="25"/>
  <c r="S44" i="25" s="1"/>
  <c r="R43" i="25"/>
  <c r="Q43" i="25"/>
  <c r="S43" i="25" s="1"/>
  <c r="S42" i="25"/>
  <c r="R41" i="25"/>
  <c r="Q41" i="25"/>
  <c r="S41" i="25" s="1"/>
  <c r="R40" i="25"/>
  <c r="Q40" i="25"/>
  <c r="S40" i="25" s="1"/>
  <c r="R39" i="25"/>
  <c r="Q39" i="25"/>
  <c r="S39" i="25" s="1"/>
  <c r="R38" i="25"/>
  <c r="Q38" i="25"/>
  <c r="S38" i="25" s="1"/>
  <c r="R37" i="25"/>
  <c r="Q37" i="25"/>
  <c r="S37" i="25" s="1"/>
  <c r="J37" i="25"/>
  <c r="Q36" i="25"/>
  <c r="S36" i="25" s="1"/>
  <c r="J36" i="25"/>
  <c r="Q35" i="25"/>
  <c r="S35" i="25" s="1"/>
  <c r="J35" i="25"/>
  <c r="Q34" i="25"/>
  <c r="S34" i="25" s="1"/>
  <c r="J34" i="25"/>
  <c r="R33" i="25"/>
  <c r="Q33" i="25"/>
  <c r="S33" i="25" s="1"/>
  <c r="I33" i="25"/>
  <c r="G33" i="25"/>
  <c r="F33" i="25"/>
  <c r="R32" i="25"/>
  <c r="Q32" i="25"/>
  <c r="S32" i="25" s="1"/>
  <c r="R31" i="25"/>
  <c r="Q31" i="25"/>
  <c r="S31" i="25" s="1"/>
  <c r="J31" i="25"/>
  <c r="R30" i="25"/>
  <c r="Q30" i="25"/>
  <c r="S30" i="25" s="1"/>
  <c r="S29" i="25"/>
  <c r="R29" i="25"/>
  <c r="Q29" i="25"/>
  <c r="I29" i="25"/>
  <c r="G29" i="25"/>
  <c r="F29" i="25"/>
  <c r="R28" i="25"/>
  <c r="Q28" i="25"/>
  <c r="S28" i="25" s="1"/>
  <c r="R27" i="25"/>
  <c r="Q27" i="25"/>
  <c r="S27" i="25" s="1"/>
  <c r="J27" i="25"/>
  <c r="R26" i="25"/>
  <c r="Q26" i="25"/>
  <c r="S26" i="25" s="1"/>
  <c r="R25" i="25"/>
  <c r="Q25" i="25"/>
  <c r="S25" i="25" s="1"/>
  <c r="R24" i="25"/>
  <c r="Q24" i="25"/>
  <c r="S24" i="25" s="1"/>
  <c r="R23" i="25"/>
  <c r="R51" i="25" s="1"/>
  <c r="R147" i="25" s="1"/>
  <c r="Q23" i="25"/>
  <c r="G23" i="25"/>
  <c r="J23" i="25" s="1"/>
  <c r="S22" i="25"/>
  <c r="R22" i="25"/>
  <c r="S21" i="25"/>
  <c r="R21" i="25"/>
  <c r="S20" i="25"/>
  <c r="R20" i="25"/>
  <c r="S19" i="25"/>
  <c r="R19" i="25"/>
  <c r="J19" i="25"/>
  <c r="S18" i="25"/>
  <c r="S17" i="25"/>
  <c r="N17" i="25"/>
  <c r="J17" i="25"/>
  <c r="R16" i="25"/>
  <c r="Q16" i="25"/>
  <c r="R15" i="25"/>
  <c r="Q15" i="25"/>
  <c r="S15" i="25" s="1"/>
  <c r="N15" i="25"/>
  <c r="G15" i="25"/>
  <c r="J15" i="25" s="1"/>
  <c r="S14" i="25"/>
  <c r="S13" i="25"/>
  <c r="R13" i="25"/>
  <c r="S12" i="25"/>
  <c r="S11" i="25"/>
  <c r="S10" i="25"/>
  <c r="R10" i="25"/>
  <c r="R9" i="25"/>
  <c r="O9" i="25"/>
  <c r="S9" i="25" s="1"/>
  <c r="J9" i="25"/>
  <c r="S8" i="25"/>
  <c r="R8" i="25"/>
  <c r="J8" i="25"/>
  <c r="R7" i="25"/>
  <c r="Q7" i="25"/>
  <c r="S7" i="25" s="1"/>
  <c r="J7" i="25"/>
  <c r="R6" i="25"/>
  <c r="Q6" i="25"/>
  <c r="S6" i="25" s="1"/>
  <c r="J6" i="25"/>
  <c r="Q5" i="25"/>
  <c r="O5" i="25"/>
  <c r="J5" i="25"/>
  <c r="N111" i="25" l="1"/>
  <c r="R58" i="25"/>
  <c r="N49" i="25"/>
  <c r="Q102" i="25"/>
  <c r="J33" i="25"/>
  <c r="R101" i="25"/>
  <c r="S5" i="25"/>
  <c r="R50" i="25"/>
  <c r="R146" i="25" s="1"/>
  <c r="S105" i="25"/>
  <c r="N146" i="25"/>
  <c r="S50" i="25"/>
  <c r="S146" i="25" s="1"/>
  <c r="O48" i="25"/>
  <c r="R59" i="25"/>
  <c r="S79" i="25"/>
  <c r="S102" i="25" s="1"/>
  <c r="N100" i="25"/>
  <c r="N143" i="25" s="1"/>
  <c r="R111" i="25"/>
  <c r="O111" i="25"/>
  <c r="O140" i="25"/>
  <c r="J29" i="25"/>
  <c r="Q50" i="25"/>
  <c r="Q146" i="25" s="1"/>
  <c r="Q70" i="25"/>
  <c r="Q71" i="25"/>
  <c r="S74" i="25"/>
  <c r="S78" i="25"/>
  <c r="S121" i="25"/>
  <c r="S148" i="25"/>
  <c r="R48" i="25"/>
  <c r="S16" i="25"/>
  <c r="Q48" i="25"/>
  <c r="O47" i="25"/>
  <c r="N145" i="25"/>
  <c r="O146" i="25"/>
  <c r="R70" i="25"/>
  <c r="S101" i="25"/>
  <c r="N140" i="25"/>
  <c r="N144" i="25" s="1"/>
  <c r="S70" i="25"/>
  <c r="O145" i="25"/>
  <c r="S71" i="25"/>
  <c r="Q58" i="25"/>
  <c r="S52" i="25"/>
  <c r="Q111" i="25"/>
  <c r="S104" i="25"/>
  <c r="S47" i="25"/>
  <c r="S49" i="25"/>
  <c r="Q51" i="25"/>
  <c r="Q147" i="25" s="1"/>
  <c r="S23" i="25"/>
  <c r="R140" i="25"/>
  <c r="Q47" i="25"/>
  <c r="R47" i="25"/>
  <c r="R143" i="25" s="1"/>
  <c r="R49" i="25"/>
  <c r="Q49" i="25"/>
  <c r="Q145" i="25" s="1"/>
  <c r="Q59" i="25"/>
  <c r="Q69" i="25"/>
  <c r="S64" i="25"/>
  <c r="R102" i="25"/>
  <c r="S59" i="25"/>
  <c r="O100" i="25"/>
  <c r="O101" i="25"/>
  <c r="Q140" i="25"/>
  <c r="D18" i="3"/>
  <c r="S100" i="25" l="1"/>
  <c r="O144" i="25"/>
  <c r="S145" i="25"/>
  <c r="S140" i="25"/>
  <c r="S69" i="25"/>
  <c r="S51" i="25"/>
  <c r="S147" i="25" s="1"/>
  <c r="S111" i="25"/>
  <c r="S48" i="25"/>
  <c r="S144" i="25" s="1"/>
  <c r="R145" i="25"/>
  <c r="R144" i="25"/>
  <c r="S58" i="25"/>
  <c r="S143" i="25" s="1"/>
  <c r="O143" i="25"/>
  <c r="Q143" i="25"/>
  <c r="Q144" i="25"/>
  <c r="G4" i="20"/>
</calcChain>
</file>

<file path=xl/comments1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5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B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«Հայաստանի Զարգացման և Ներդրումների Զարգացման կորպորացիա» ՈՒՎԿ</t>
        </r>
      </text>
    </comment>
    <comment ref="N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
«Հայաստանի Ներդրումների և ջակցության կորպորացիա» միանվագ մարում 20.12.2030թ.</t>
        </r>
      </text>
    </comment>
    <comment ref="O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«Հայաստանի Ներդրումների և ջակցության կորպորացիա» միանվագ մարում 30.06.2023թ.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Էլիտ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3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E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E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H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H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H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H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K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F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F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F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4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F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F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F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I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I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I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I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G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5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sharedStrings.xml><?xml version="1.0" encoding="utf-8"?>
<sst xmlns="http://schemas.openxmlformats.org/spreadsheetml/2006/main" count="7945" uniqueCount="541">
  <si>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</si>
  <si>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</si>
  <si>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</si>
  <si>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</si>
  <si>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</si>
  <si>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</si>
  <si>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</si>
  <si>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</si>
  <si>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 xml:space="preserve">   ՀՀ կառավարության 26․03․2020թ․ 356-Լ որոշում, ՀՀ կառավարության 31․03․2020թ․ 416-Լ որոշում           Գործակալական պայմանագիր 16/120520-1</t>
  </si>
  <si>
    <t>07.05.2024թ.</t>
  </si>
  <si>
    <t xml:space="preserve">      ՀՀ կառավարության 26․03․2020թ․ 356-Լ որոշում, ՀՀ կառավարության 31․03․2020թ․ 416-Լ որոշում,          Գործակալական պայմանագիր 16/220420-1      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</si>
  <si>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</si>
  <si>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</si>
  <si>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</si>
  <si>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</si>
  <si>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</si>
  <si>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</si>
  <si>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</si>
  <si>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</si>
  <si>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</si>
  <si>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</si>
  <si>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</si>
  <si>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</si>
  <si>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</si>
  <si>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</si>
  <si>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</si>
  <si>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</si>
  <si>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</si>
  <si>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</si>
  <si>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</si>
  <si>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</si>
  <si>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</si>
  <si>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</si>
  <si>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</si>
  <si>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</si>
  <si>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</si>
  <si>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</si>
  <si>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</si>
  <si>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</si>
  <si>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</si>
  <si>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</si>
  <si>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</si>
  <si>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</si>
  <si>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</si>
  <si>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</si>
  <si>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</si>
  <si>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</si>
  <si>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</si>
  <si>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</si>
  <si>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</si>
  <si>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</si>
  <si>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</si>
  <si>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</si>
  <si>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</si>
  <si>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</si>
  <si>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</si>
  <si>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</si>
  <si>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</si>
  <si>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</si>
  <si>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</si>
  <si>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</si>
  <si>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</si>
  <si>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</si>
  <si>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</si>
  <si>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</si>
  <si>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</si>
  <si>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</si>
  <si>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</si>
  <si>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</si>
  <si>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</si>
  <si>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</si>
  <si>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</si>
  <si>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</si>
  <si>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</si>
  <si>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«Քաղաքային ջեռուցման ծրագիր»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</si>
  <si>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</si>
  <si>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</si>
  <si>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</si>
  <si>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</si>
  <si>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</si>
  <si>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</si>
  <si>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</si>
  <si>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</si>
  <si>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</si>
  <si>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</si>
  <si>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</si>
  <si>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</si>
  <si>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</si>
  <si>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</si>
  <si>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</si>
  <si>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</si>
  <si>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</si>
  <si>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</si>
  <si>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</si>
  <si>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</si>
  <si>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</si>
  <si>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</si>
  <si>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</si>
  <si>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</si>
  <si>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</si>
  <si>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</si>
  <si>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</si>
  <si>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</si>
  <si>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</si>
  <si>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</si>
  <si>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</si>
  <si>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</si>
  <si>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</si>
  <si>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</si>
  <si>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</si>
  <si>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</si>
  <si>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</si>
  <si>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</si>
  <si>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Պետական բյուջե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</si>
  <si>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</si>
  <si>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</si>
  <si>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</si>
  <si>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</si>
  <si>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</si>
  <si>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</si>
  <si>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</si>
  <si>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</si>
  <si>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</si>
  <si>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</si>
  <si>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</si>
  <si>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</si>
  <si>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</si>
  <si>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</si>
  <si>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</si>
  <si>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</si>
  <si>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</si>
  <si>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</si>
  <si>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</si>
  <si>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</si>
  <si>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</si>
  <si>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</si>
  <si>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</si>
  <si>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</si>
  <si>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</si>
  <si>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</si>
  <si>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</si>
  <si>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</si>
  <si>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</si>
  <si>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</si>
  <si>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</si>
  <si>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</si>
  <si>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</si>
  <si>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</si>
  <si>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</si>
  <si>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</si>
  <si>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</si>
  <si>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</si>
  <si>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</si>
  <si>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</si>
  <si>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</si>
  <si>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</si>
  <si>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</si>
  <si>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</si>
  <si>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</si>
  <si>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</si>
  <si>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</si>
  <si>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</si>
  <si>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</si>
  <si>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</si>
  <si>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</si>
  <si>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</si>
  <si>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</si>
  <si>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</si>
  <si>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</si>
  <si>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</si>
  <si>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</si>
  <si>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</si>
  <si>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«Բերրիություն ԱՄ-ի Մասիսի շրջանային միավորում» ՍՊԸ*</t>
  </si>
  <si>
    <t>Գյուղատնտեսության վարկավորման ծրագիր</t>
  </si>
  <si>
    <t>20.12.2016թ.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</si>
  <si>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</si>
  <si>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</si>
  <si>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</si>
  <si>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</si>
  <si>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</si>
  <si>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</si>
  <si>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</si>
  <si>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</si>
  <si>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</si>
  <si>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</si>
  <si>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</si>
  <si>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</si>
  <si>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</si>
  <si>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</si>
  <si>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</si>
  <si>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կայունացման դեպոզիտ հաշիվ (եվրոբոնդ)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</si>
  <si>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</si>
  <si>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</si>
  <si>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</si>
  <si>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</si>
  <si>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</si>
  <si>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</si>
  <si>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</si>
  <si>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</si>
  <si>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</si>
  <si>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</si>
  <si>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</si>
  <si>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</si>
  <si>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</si>
  <si>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</si>
  <si>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</si>
  <si>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</si>
  <si>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</si>
  <si>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</si>
  <si>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</si>
  <si>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</si>
  <si>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</si>
  <si>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</si>
  <si>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</si>
  <si>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</si>
  <si>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</si>
  <si>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</si>
  <si>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</si>
  <si>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</si>
  <si>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</si>
  <si>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</si>
  <si>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</si>
  <si>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</si>
  <si>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</si>
  <si>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</si>
  <si>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</si>
  <si>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</si>
  <si>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</si>
  <si>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</si>
  <si>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</si>
  <si>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</si>
  <si>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</si>
  <si>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</si>
  <si>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</si>
  <si>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</si>
  <si>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</si>
  <si>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</si>
  <si>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</si>
  <si>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</si>
  <si>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</si>
  <si>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</si>
  <si>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</si>
  <si>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</si>
  <si>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</si>
  <si>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</si>
  <si>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</si>
  <si>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</si>
  <si>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</si>
  <si>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</si>
  <si>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</si>
  <si>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</si>
  <si>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</si>
  <si>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</si>
  <si>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</si>
  <si>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</si>
  <si>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</si>
  <si>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</si>
  <si>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</si>
  <si>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</si>
  <si>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</si>
  <si>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</si>
  <si>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</si>
  <si>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</si>
  <si>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</si>
  <si>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</si>
  <si>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</si>
  <si>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</si>
  <si>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</si>
  <si>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ՀՀ կառավարության 14.10.2021թ.  N 1688-Ն որոշում </t>
  </si>
  <si>
    <t>25.12.2023թ. -25.06.2033թ.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</si>
  <si>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</si>
  <si>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</si>
  <si>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</si>
  <si>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</si>
  <si>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</si>
  <si>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</si>
  <si>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</si>
  <si>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</si>
  <si>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</si>
  <si>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</si>
  <si>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KFW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</si>
  <si>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</si>
  <si>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</si>
  <si>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</si>
  <si>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</si>
  <si>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</si>
  <si>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ՎԶԵԲ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</si>
  <si>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</si>
  <si>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</si>
  <si>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</si>
  <si>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</si>
  <si>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</si>
  <si>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</si>
  <si>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</si>
  <si>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</si>
  <si>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</si>
  <si>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</si>
  <si>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</si>
  <si>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</si>
  <si>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</si>
  <si>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</si>
  <si>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</si>
  <si>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</si>
  <si>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</si>
  <si>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</si>
  <si>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</si>
  <si>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</si>
  <si>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</si>
  <si>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</si>
  <si>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</si>
  <si>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</si>
  <si>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</si>
  <si>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</si>
  <si>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</si>
  <si>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</si>
  <si>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</si>
  <si>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</si>
  <si>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</si>
  <si>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</si>
  <si>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10.07.2020թ. N 8/20 վարկային պայմանագիր</t>
  </si>
  <si>
    <t>20.10.2021թ. N 10/21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</si>
  <si>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</si>
  <si>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</si>
  <si>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</si>
  <si>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</si>
  <si>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</si>
  <si>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</si>
  <si>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</si>
  <si>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</si>
  <si>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</si>
  <si>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</si>
  <si>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</si>
  <si>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</si>
  <si>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</si>
  <si>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</si>
  <si>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</si>
  <si>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</si>
  <si>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</si>
  <si>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</si>
  <si>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</si>
  <si>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</si>
  <si>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</si>
  <si>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</si>
  <si>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</si>
  <si>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</si>
  <si>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</si>
  <si>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05.02.2016թ.  N 2/2016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</si>
  <si>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</si>
  <si>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</si>
  <si>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</si>
  <si>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</si>
  <si>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 հաշտության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</si>
  <si>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</si>
  <si>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</si>
  <si>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</si>
  <si>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</si>
  <si>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</si>
  <si>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</si>
  <si>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</si>
  <si>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</si>
  <si>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</si>
  <si>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</si>
  <si>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</si>
  <si>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</si>
  <si>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</si>
  <si>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</si>
  <si>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12.12.2024թ.</t>
  </si>
  <si>
    <t>Sofr+ փոփոխական մարժա</t>
  </si>
  <si>
    <t>Sofr + փոփոխական մարժա և 0.25% պարտավճար</t>
  </si>
  <si>
    <t>30.12.2023թ.</t>
  </si>
  <si>
    <t xml:space="preserve">      ՀՀ կառավարության 26․03․2020թ․ 356-Լ որոշում, ՀՀ կառավարության 25․03․2020թ․ 417-Լ որոշում,          Գործակալական պայմանագիր 16.1/050421-1      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</si>
  <si>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</si>
  <si>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</si>
  <si>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</si>
  <si>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</si>
  <si>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</si>
  <si>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</si>
  <si>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</si>
  <si>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</si>
  <si>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</si>
  <si>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</si>
  <si>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</si>
  <si>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</si>
  <si>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</si>
  <si>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</si>
  <si>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</si>
  <si>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</si>
  <si>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</si>
  <si>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</si>
  <si>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</si>
  <si>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</si>
  <si>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</si>
  <si>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</si>
  <si>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</si>
  <si>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«ЕРАСХСКИЙ ВИННЫЙ ЗАВОД» ООО</t>
  </si>
  <si>
    <t>«ԳԵՏԱՓԻ ԳԻՆՈՒ ԿՈՆՅԱԿԻ ԳՈՐԾԱՐԱՆ» ՍՊԸ</t>
  </si>
  <si>
    <t>"GETAP WINE AND BRANDY FACTORY" LLC</t>
  </si>
  <si>
    <t>«ГЕТАПСКИЙ ВИННОКОНЬЯЧНЫЙ ЗАВОД» ООО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</si>
  <si>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</si>
  <si>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</si>
  <si>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</si>
  <si>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</si>
  <si>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</si>
  <si>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«ПРОШЯНСКИЙ КОНЬЯЧНЫЙ ЗАВОД» ООО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</si>
  <si>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</si>
  <si>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</si>
  <si>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</si>
  <si>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</si>
  <si>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</si>
  <si>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«Араратский  винный  завод» ООО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</si>
  <si>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</si>
  <si>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</si>
  <si>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</si>
  <si>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</si>
  <si>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</si>
  <si>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</si>
  <si>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</si>
  <si>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</si>
  <si>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</si>
  <si>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</si>
  <si>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</si>
  <si>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</si>
  <si>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</si>
  <si>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</si>
  <si>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</si>
  <si>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Վարկի գումարի չափը</t>
  </si>
  <si>
    <t>Մասհանված գումարի չափը</t>
  </si>
  <si>
    <t>Արտաքին վարկի տրամադրման տարեկան տոկոսադրույքը</t>
  </si>
  <si>
    <t>Արտաքին վարկից մարված գումար</t>
  </si>
  <si>
    <t>Արտաքին վարկի հիմնական գումարի մնացորդ</t>
  </si>
  <si>
    <t>6-ամսյա Libor+ փոփոխական մարժա</t>
  </si>
  <si>
    <t>SDR</t>
  </si>
  <si>
    <t xml:space="preserve"> SDR</t>
  </si>
  <si>
    <t>1.8% / 0.75%</t>
  </si>
  <si>
    <t xml:space="preserve">Գերմանական մարկ </t>
  </si>
  <si>
    <t>6-ամսյա Եվրոibor+0.75</t>
  </si>
  <si>
    <t>6-ամսյա Եվրոibor+0.693 կամ ֆիքսված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</si>
  <si>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</si>
  <si>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</si>
  <si>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</si>
  <si>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</si>
  <si>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</si>
  <si>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</si>
  <si>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</si>
  <si>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</si>
  <si>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</si>
  <si>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«Հայ-Ալմաստ» ՓԲԸ-</t>
  </si>
  <si>
    <t xml:space="preserve">09.11.2023թ. N 2/2023 </t>
  </si>
  <si>
    <t>Վարկի հաշվին ձեռք բերված հայկական կոնյակի սպիրտ</t>
  </si>
  <si>
    <t>«Իջևանի գինու, կոնյակի գործարան» ՓԲԸ</t>
  </si>
  <si>
    <t>«Պռոշյանի կոնյակի գործարան» ՍՊԸ</t>
  </si>
  <si>
    <t>«Վեդի-Ալկո» ՓԲԸ</t>
  </si>
  <si>
    <t>04.09.2027թ.</t>
  </si>
  <si>
    <t>08.09.2027թ.</t>
  </si>
  <si>
    <t>25.09.2027թ.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</si>
  <si>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31.01.2024թ. դրությամբ </t>
  </si>
  <si>
    <t xml:space="preserve">ԱՅԼ </t>
  </si>
  <si>
    <t xml:space="preserve">20.12.2030թ. </t>
  </si>
  <si>
    <t xml:space="preserve">30.06.2023թ. </t>
  </si>
  <si>
    <t>10.03.2021թ. 10.03.2024թ.</t>
  </si>
  <si>
    <t>25,01,2021թ. 25,12,2040թ.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</si>
  <si>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29.02.2024թ. դրությամբ </t>
  </si>
  <si>
    <t>Ծանոթագրություն</t>
  </si>
  <si>
    <t>ՀՀ պետական բյուջե</t>
  </si>
  <si>
    <t>1.8% և 0.25% պարտավճար</t>
  </si>
  <si>
    <t>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պետք է չեղարկվի (փոփոխոիթյան համաձայնագիրը կնքման փուլում է)</t>
  </si>
  <si>
    <t>Համաձայն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</si>
  <si>
    <t>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</si>
  <si>
    <t>11.06.2018թ. Համաձայնագրով 30.205.514  փոխարինվել է 22.305.514
14.02.2020թ. Համաձայնագրով 22.305.514    փոխարինվել է 16.662.617</t>
  </si>
  <si>
    <t>18.06.2020թ. Համաձայնագրով 15.192.292 SDR փոխարինվել է 13.988.153 SDR, իսկ մասհանման ժամկետը երկարաձգվել է մինչև 30.06.2022թ (30.06.2020 փոխարեն)</t>
  </si>
  <si>
    <t>25.05.2020թ. Համաձայնագրով 8.829.708 SDR փոխարինվել է 10.098.535 SDR, իսկ մասհանման ժամկետը երկարաձգվել է մինչև 30.06.2022թ (30.06.2020 փոխարեն)</t>
  </si>
  <si>
    <t xml:space="preserve">Վարկը ամբողջությամբ մարվել է </t>
  </si>
  <si>
    <t>ՌԴ կառավարություն</t>
  </si>
  <si>
    <t xml:space="preserve">Կայունացման դեպոզիտ հաշիվ </t>
  </si>
  <si>
    <t>02.07.2015թ. N 1247-Ն որոշմամբ  մարման ժամկետը 2019թ. երկարաձգվել է մինչև 2026թ.</t>
  </si>
  <si>
    <t>ՀՀ կառ. 03.08.2017թ. N921-Ա որոշման համաձայն Ընկերությանը տրամադրված վարկի մարման ժամկետները հետաձգել են, տոկոսների վճարումից ազատվել է, իսկ հաշվարկված տույժի վճարումը ներվել է</t>
  </si>
  <si>
    <t>ՀՀ կառ. 29.04.2021թ. N664-Ա որոշման համաձայն Ընկերությանը տրամադրված վարկի մարման ժամկետը հետաձգվել է 2020-ից 2023թ.</t>
  </si>
  <si>
    <t>Վարկի մայր գումարի և տոկոսագումարի վճարումները հետաձգվել են:</t>
  </si>
  <si>
    <t>Ժամկետանց</t>
  </si>
  <si>
    <t>ՀՀ կառավարության 07.12.2017թ. N 1585-Ն որոշման համաձայն 163,143,274 դրամ գումարի չափով մայր գումարի նվազեցում</t>
  </si>
  <si>
    <t>Վարկի մայր գումարի և տոկոսագումարի վճարումները հետաձգվել են, տոկոսագումարները կապիտալիզացվել են: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</si>
  <si>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</si>
  <si>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</si>
  <si>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</si>
  <si>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</si>
  <si>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</si>
  <si>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Համաձայն ՀՀ կառ.24.12.20թ. 2174-Ն որոշման, 25.12.2020թ.-ին կնքվել է համաձայնագիր, որով փոփոխվել են  վարկի մարման ժամկետն ու տոկոսը </t>
  </si>
  <si>
    <t xml:space="preserve">Համաձայն ՀՀ կառ.24.12.20թ. 2176-Ա որոշման, 25.12.2020թ.-ին կնքվել է համաձայնագիր, որով փոփոխվել են վարկի մարման ժամկետն ու տոկոսը 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</si>
  <si>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</si>
  <si>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</si>
  <si>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</si>
  <si>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30.04.2024թ. դրությամբ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</si>
  <si>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</si>
  <si>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31.03.2024թ. դրությամբ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</si>
  <si>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31.05.2024թ. դրությամբ 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</si>
  <si>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</si>
  <si>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</si>
  <si>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</si>
  <si>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</si>
  <si>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</si>
  <si>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ԱՄՆտթորանք</t>
  </si>
  <si>
    <t>անիրատեսական</t>
  </si>
  <si>
    <t xml:space="preserve">Տնտեսության կայունացման վարկավորման ծրագիր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</si>
  <si>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30.06.2024թ. դրությամբ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</si>
  <si>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</si>
  <si>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</si>
  <si>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</si>
  <si>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</si>
  <si>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</si>
  <si>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10.07.2020թ. N 8/2020 վարկային պայմանագիր</t>
  </si>
  <si>
    <t>17.06.2021թ. N9/2021</t>
  </si>
  <si>
    <t>19.12.2003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</si>
  <si>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31.07.2024թ. դրությամբ 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</si>
  <si>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</si>
  <si>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</si>
  <si>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</si>
  <si>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</si>
  <si>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</si>
  <si>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</si>
  <si>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</si>
  <si>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</si>
  <si>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</si>
  <si>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 xml:space="preserve">25.07.1997թ.   11.04.2001թ.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</si>
  <si>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</si>
  <si>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</si>
  <si>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</si>
  <si>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</si>
  <si>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</si>
  <si>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</si>
  <si>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</si>
  <si>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</si>
  <si>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</si>
  <si>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</si>
  <si>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31.08.2024թ. դրությամբ 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</si>
  <si>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</si>
  <si>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</si>
  <si>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</si>
  <si>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</si>
  <si>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>30.09.2024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</si>
  <si>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30.09.2024թ. դրությամբ 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</si>
  <si>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30.09.24թ.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</si>
</sst>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sz val="13"/>
      <name val="GHEA Grapalat"/>
      <family val="3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GHEA Grapala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21" fillId="0" borderId="0"/>
    <xf numFmtId="0" fontId="25" fillId="0" borderId="0" applyNumberFormat="0" applyFill="0" applyBorder="0" applyAlignment="0" applyProtection="0"/>
  </cellStyleXfs>
  <cellXfs count="624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4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7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Alignment="1" applyProtection="1">
      <alignment horizontal="centerContinuous"/>
    </xf>
    <xf numFmtId="10" fontId="2" fillId="2" borderId="0" xfId="6" applyNumberFormat="1" applyFont="1" applyFill="1" applyAlignment="1" applyProtection="1">
      <alignment horizontal="centerContinuous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0" xfId="1" quotePrefix="1" applyNumberFormat="1" applyFont="1" applyFill="1" applyBorder="1" applyAlignment="1" applyProtection="1">
      <alignment horizontal="center" vertical="center" wrapText="1"/>
    </xf>
    <xf numFmtId="10" fontId="8" fillId="2" borderId="20" xfId="6" applyNumberFormat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4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43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</xf>
    <xf numFmtId="43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vertical="center" wrapText="1"/>
    </xf>
    <xf numFmtId="2" fontId="8" fillId="2" borderId="17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9" fontId="9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7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166" fontId="2" fillId="2" borderId="15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9" fontId="2" fillId="2" borderId="37" xfId="1" applyNumberFormat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5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165" fontId="2" fillId="2" borderId="20" xfId="4" applyNumberFormat="1" applyFont="1" applyFill="1" applyBorder="1" applyAlignment="1" applyProtection="1">
      <alignment horizontal="center" vertical="center" wrapText="1"/>
    </xf>
    <xf numFmtId="165" fontId="2" fillId="2" borderId="20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2" xfId="8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/>
    </xf>
    <xf numFmtId="10" fontId="2" fillId="2" borderId="20" xfId="8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1" fontId="2" fillId="2" borderId="16" xfId="1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41" xfId="1" applyNumberFormat="1" applyFont="1" applyFill="1" applyBorder="1" applyAlignment="1" applyProtection="1">
      <alignment horizontal="center" vertical="center" wrapText="1"/>
    </xf>
    <xf numFmtId="165" fontId="8" fillId="2" borderId="38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41" xfId="4" applyNumberFormat="1" applyFont="1" applyFill="1" applyBorder="1" applyAlignment="1" applyProtection="1">
      <alignment vertical="center"/>
    </xf>
    <xf numFmtId="165" fontId="8" fillId="2" borderId="36" xfId="4" applyNumberFormat="1" applyFont="1" applyFill="1" applyBorder="1" applyAlignment="1" applyProtection="1">
      <alignment vertical="center"/>
    </xf>
    <xf numFmtId="1" fontId="2" fillId="2" borderId="42" xfId="1" applyNumberFormat="1" applyFont="1" applyFill="1" applyBorder="1" applyAlignment="1" applyProtection="1">
      <alignment horizontal="center" vertical="center" wrapText="1"/>
    </xf>
    <xf numFmtId="165" fontId="8" fillId="2" borderId="27" xfId="4" applyNumberFormat="1" applyFont="1" applyFill="1" applyBorder="1" applyAlignment="1" applyProtection="1">
      <alignment vertical="center"/>
    </xf>
    <xf numFmtId="0" fontId="2" fillId="2" borderId="46" xfId="1" applyFont="1" applyFill="1" applyBorder="1" applyAlignment="1" applyProtection="1">
      <alignment horizontal="center" vertical="center" wrapText="1"/>
    </xf>
    <xf numFmtId="170" fontId="2" fillId="2" borderId="0" xfId="0" applyNumberFormat="1" applyFont="1" applyFill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70" fontId="2" fillId="2" borderId="0" xfId="18" applyNumberFormat="1" applyFont="1" applyFill="1" applyProtection="1"/>
    <xf numFmtId="0" fontId="8" fillId="2" borderId="6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Protection="1"/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6" xfId="1" applyNumberFormat="1" applyFont="1" applyFill="1" applyBorder="1" applyAlignment="1" applyProtection="1">
      <alignment horizontal="center" vertical="center" wrapText="1"/>
    </xf>
    <xf numFmtId="43" fontId="2" fillId="2" borderId="34" xfId="2" applyFont="1" applyFill="1" applyBorder="1" applyProtection="1"/>
    <xf numFmtId="43" fontId="2" fillId="2" borderId="31" xfId="2" applyFont="1" applyFill="1" applyBorder="1" applyProtection="1"/>
    <xf numFmtId="43" fontId="2" fillId="2" borderId="31" xfId="2" applyFont="1" applyFill="1" applyBorder="1" applyAlignment="1" applyProtection="1">
      <alignment horizontal="center" vertical="center" wrapText="1"/>
    </xf>
    <xf numFmtId="43" fontId="2" fillId="2" borderId="32" xfId="2" applyFont="1" applyFill="1" applyBorder="1" applyProtection="1"/>
    <xf numFmtId="43" fontId="2" fillId="2" borderId="31" xfId="2" applyFont="1" applyFill="1" applyBorder="1" applyAlignment="1" applyProtection="1">
      <alignment horizontal="justify" vertical="center" wrapText="1"/>
    </xf>
    <xf numFmtId="0" fontId="2" fillId="2" borderId="47" xfId="1" applyFont="1" applyFill="1" applyBorder="1" applyAlignment="1" applyProtection="1">
      <alignment horizontal="left" vertical="center" wrapText="1"/>
    </xf>
    <xf numFmtId="0" fontId="2" fillId="2" borderId="31" xfId="1" applyFont="1" applyFill="1" applyBorder="1" applyAlignment="1" applyProtection="1">
      <alignment horizontal="left" vertical="center" wrapText="1"/>
    </xf>
    <xf numFmtId="43" fontId="2" fillId="2" borderId="32" xfId="2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Alignment="1" applyProtection="1">
      <alignment horizontal="justify" vertical="center" wrapText="1"/>
    </xf>
    <xf numFmtId="43" fontId="2" fillId="2" borderId="31" xfId="9" applyFont="1" applyFill="1" applyBorder="1" applyProtection="1"/>
    <xf numFmtId="43" fontId="2" fillId="2" borderId="18" xfId="2" applyFont="1" applyFill="1" applyBorder="1" applyProtection="1"/>
    <xf numFmtId="1" fontId="2" fillId="2" borderId="10" xfId="1" applyNumberFormat="1" applyFont="1" applyFill="1" applyBorder="1" applyAlignment="1" applyProtection="1">
      <alignment horizontal="center" vertical="center" wrapText="1"/>
    </xf>
    <xf numFmtId="1" fontId="2" fillId="2" borderId="4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4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Border="1" applyAlignment="1" applyProtection="1">
      <alignment horizontal="center" vertical="center" wrapText="1"/>
    </xf>
    <xf numFmtId="10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22" fillId="0" borderId="0" xfId="0" applyFont="1"/>
    <xf numFmtId="171" fontId="22" fillId="0" borderId="0" xfId="0" applyNumberFormat="1" applyFont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8" fontId="8" fillId="0" borderId="17" xfId="12" applyNumberFormat="1" applyFont="1" applyFill="1" applyBorder="1" applyAlignment="1">
      <alignment horizontal="center" vertical="center" wrapText="1"/>
    </xf>
    <xf numFmtId="168" fontId="8" fillId="0" borderId="33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31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168" fontId="2" fillId="0" borderId="34" xfId="12" applyNumberFormat="1" applyFont="1" applyFill="1" applyBorder="1" applyAlignment="1">
      <alignment horizontal="justify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10" fontId="8" fillId="2" borderId="2" xfId="6" applyNumberFormat="1" applyFont="1" applyFill="1" applyBorder="1" applyAlignment="1" applyProtection="1">
      <alignment horizontal="center" vertical="center" wrapText="1"/>
    </xf>
    <xf numFmtId="167" fontId="2" fillId="2" borderId="2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0" fontId="8" fillId="2" borderId="49" xfId="1" applyFont="1" applyFill="1" applyBorder="1" applyAlignment="1" applyProtection="1">
      <alignment horizontal="center" vertical="center" wrapText="1"/>
    </xf>
    <xf numFmtId="2" fontId="8" fillId="2" borderId="30" xfId="1" applyNumberFormat="1" applyFont="1" applyFill="1" applyBorder="1" applyAlignment="1" applyProtection="1">
      <alignment vertical="center"/>
    </xf>
    <xf numFmtId="2" fontId="8" fillId="2" borderId="13" xfId="1" applyNumberFormat="1" applyFont="1" applyFill="1" applyBorder="1" applyAlignment="1" applyProtection="1">
      <alignment vertical="center"/>
    </xf>
    <xf numFmtId="2" fontId="8" fillId="2" borderId="36" xfId="1" applyNumberFormat="1" applyFont="1" applyFill="1" applyBorder="1" applyAlignment="1" applyProtection="1">
      <alignment vertical="center"/>
    </xf>
    <xf numFmtId="0" fontId="2" fillId="2" borderId="17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2" fillId="2" borderId="10" xfId="1" quotePrefix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2" fontId="2" fillId="2" borderId="27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vertical="center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8" xfId="1" applyNumberFormat="1" applyFont="1" applyFill="1" applyBorder="1" applyAlignment="1" applyProtection="1">
      <alignment vertical="center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65" fontId="8" fillId="2" borderId="32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47" xfId="4" applyNumberFormat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26" fillId="2" borderId="14" xfId="19" applyFont="1" applyFill="1" applyBorder="1" applyAlignment="1" applyProtection="1">
      <alignment horizontal="center" vertical="center" wrapText="1"/>
    </xf>
    <xf numFmtId="0" fontId="26" fillId="2" borderId="27" xfId="19" applyFont="1" applyFill="1" applyBorder="1" applyAlignment="1" applyProtection="1">
      <alignment horizontal="center" vertical="center" wrapText="1"/>
    </xf>
    <xf numFmtId="0" fontId="26" fillId="2" borderId="16" xfId="19" applyFont="1" applyFill="1" applyBorder="1" applyAlignment="1" applyProtection="1">
      <alignment horizontal="center" vertical="center" wrapText="1"/>
    </xf>
    <xf numFmtId="0" fontId="26" fillId="2" borderId="1" xfId="19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7" fillId="0" borderId="0" xfId="0" applyFont="1"/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3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8" fontId="10" fillId="0" borderId="31" xfId="1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8" fontId="28" fillId="0" borderId="10" xfId="0" applyNumberFormat="1" applyFont="1" applyBorder="1" applyAlignment="1">
      <alignment horizontal="center" vertical="center" wrapText="1"/>
    </xf>
    <xf numFmtId="168" fontId="28" fillId="0" borderId="34" xfId="0" applyNumberFormat="1" applyFont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8" fillId="2" borderId="35" xfId="1" applyFont="1" applyFill="1" applyBorder="1" applyAlignment="1" applyProtection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center" wrapText="1"/>
    </xf>
    <xf numFmtId="10" fontId="8" fillId="2" borderId="17" xfId="6" applyNumberFormat="1" applyFont="1" applyFill="1" applyBorder="1" applyAlignment="1" applyProtection="1">
      <alignment horizontal="center" vertical="center" wrapText="1"/>
    </xf>
    <xf numFmtId="0" fontId="8" fillId="2" borderId="33" xfId="1" applyFont="1" applyFill="1" applyBorder="1" applyAlignment="1" applyProtection="1">
      <alignment horizontal="center" vertical="center" wrapText="1"/>
    </xf>
    <xf numFmtId="10" fontId="2" fillId="2" borderId="10" xfId="8" applyNumberFormat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8" fillId="2" borderId="2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2" fontId="8" fillId="2" borderId="24" xfId="1" applyNumberFormat="1" applyFont="1" applyFill="1" applyBorder="1" applyAlignment="1" applyProtection="1">
      <alignment horizontal="center" vertical="center"/>
    </xf>
    <xf numFmtId="2" fontId="8" fillId="2" borderId="28" xfId="1" applyNumberFormat="1" applyFont="1" applyFill="1" applyBorder="1" applyAlignment="1" applyProtection="1">
      <alignment horizontal="center" vertical="center"/>
    </xf>
    <xf numFmtId="2" fontId="8" fillId="2" borderId="12" xfId="1" applyNumberFormat="1" applyFont="1" applyFill="1" applyBorder="1" applyAlignment="1" applyProtection="1">
      <alignment horizontal="center" vertical="center"/>
    </xf>
    <xf numFmtId="1" fontId="13" fillId="2" borderId="9" xfId="1" applyNumberFormat="1" applyFont="1" applyFill="1" applyBorder="1" applyAlignment="1" applyProtection="1">
      <alignment horizontal="center" vertical="center" wrapText="1"/>
    </xf>
    <xf numFmtId="1" fontId="13" fillId="2" borderId="3" xfId="1" applyNumberFormat="1" applyFont="1" applyFill="1" applyBorder="1" applyAlignment="1" applyProtection="1">
      <alignment horizontal="center" vertical="center" wrapText="1"/>
    </xf>
    <xf numFmtId="1" fontId="13" fillId="2" borderId="7" xfId="1" applyNumberFormat="1" applyFont="1" applyFill="1" applyBorder="1" applyAlignment="1" applyProtection="1">
      <alignment horizontal="center" vertical="center" wrapText="1"/>
    </xf>
    <xf numFmtId="1" fontId="13" fillId="2" borderId="2" xfId="1" applyNumberFormat="1" applyFont="1" applyFill="1" applyBorder="1" applyAlignment="1" applyProtection="1">
      <alignment horizontal="center" vertical="center" wrapText="1"/>
    </xf>
    <xf numFmtId="1" fontId="13" fillId="2" borderId="11" xfId="1" applyNumberFormat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2" fontId="8" fillId="2" borderId="38" xfId="1" applyNumberFormat="1" applyFont="1" applyFill="1" applyBorder="1" applyAlignment="1" applyProtection="1">
      <alignment horizontal="center" vertical="center"/>
    </xf>
    <xf numFmtId="2" fontId="8" fillId="2" borderId="39" xfId="1" applyNumberFormat="1" applyFont="1" applyFill="1" applyBorder="1" applyAlignment="1" applyProtection="1">
      <alignment horizontal="center" vertical="center"/>
    </xf>
    <xf numFmtId="2" fontId="8" fillId="2" borderId="40" xfId="1" applyNumberFormat="1" applyFont="1" applyFill="1" applyBorder="1" applyAlignment="1" applyProtection="1">
      <alignment horizontal="center" vertical="center"/>
    </xf>
    <xf numFmtId="2" fontId="8" fillId="2" borderId="16" xfId="1" applyNumberFormat="1" applyFont="1" applyFill="1" applyBorder="1" applyAlignment="1" applyProtection="1">
      <alignment horizontal="center" vertical="center"/>
    </xf>
    <xf numFmtId="2" fontId="8" fillId="2" borderId="36" xfId="1" applyNumberFormat="1" applyFont="1" applyFill="1" applyBorder="1" applyAlignment="1" applyProtection="1">
      <alignment horizontal="center" vertical="center"/>
    </xf>
    <xf numFmtId="2" fontId="8" fillId="2" borderId="30" xfId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1" fontId="13" fillId="2" borderId="35" xfId="1" applyNumberFormat="1" applyFont="1" applyFill="1" applyBorder="1" applyAlignment="1" applyProtection="1">
      <alignment horizontal="center" vertical="center" wrapText="1"/>
    </xf>
    <xf numFmtId="1" fontId="13" fillId="2" borderId="17" xfId="1" applyNumberFormat="1" applyFont="1" applyFill="1" applyBorder="1" applyAlignment="1" applyProtection="1">
      <alignment horizontal="center" vertical="center" wrapText="1"/>
    </xf>
    <xf numFmtId="1" fontId="13" fillId="2" borderId="33" xfId="1" applyNumberFormat="1" applyFont="1" applyFill="1" applyBorder="1" applyAlignment="1" applyProtection="1">
      <alignment horizontal="center" vertical="center" wrapText="1"/>
    </xf>
    <xf numFmtId="1" fontId="13" fillId="2" borderId="31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2" fontId="8" fillId="2" borderId="26" xfId="1" applyNumberFormat="1" applyFont="1" applyFill="1" applyBorder="1" applyAlignment="1" applyProtection="1">
      <alignment horizontal="center" vertical="center"/>
    </xf>
    <xf numFmtId="2" fontId="8" fillId="2" borderId="3" xfId="1" applyNumberFormat="1" applyFont="1" applyFill="1" applyBorder="1" applyAlignment="1" applyProtection="1">
      <alignment horizontal="center" vertical="center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2" borderId="25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13" fillId="2" borderId="8" xfId="1" applyNumberFormat="1" applyFont="1" applyFill="1" applyBorder="1" applyAlignment="1" applyProtection="1">
      <alignment horizontal="center" vertical="center" wrapText="1"/>
    </xf>
    <xf numFmtId="1" fontId="13" fillId="2" borderId="10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horizontal="center" vertical="center"/>
    </xf>
    <xf numFmtId="2" fontId="8" fillId="2" borderId="4" xfId="1" applyNumberFormat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2" fontId="8" fillId="2" borderId="17" xfId="1" applyNumberFormat="1" applyFont="1" applyFill="1" applyBorder="1" applyAlignment="1" applyProtection="1">
      <alignment horizontal="center" vertical="center"/>
    </xf>
    <xf numFmtId="2" fontId="8" fillId="2" borderId="10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23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3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66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65" fontId="2" fillId="2" borderId="15" xfId="4" applyNumberFormat="1" applyFont="1" applyFill="1" applyBorder="1" applyAlignment="1" applyProtection="1">
      <alignment horizontal="center" vertical="center"/>
    </xf>
    <xf numFmtId="165" fontId="2" fillId="2" borderId="3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" fillId="2" borderId="3" xfId="18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" fontId="13" fillId="2" borderId="53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54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5" xfId="1" applyNumberFormat="1" applyFont="1" applyFill="1" applyBorder="1" applyAlignment="1" applyProtection="1">
      <alignment horizontal="center" vertical="center" wrapText="1"/>
    </xf>
    <xf numFmtId="1" fontId="13" fillId="2" borderId="50" xfId="1" applyNumberFormat="1" applyFont="1" applyFill="1" applyBorder="1" applyAlignment="1" applyProtection="1">
      <alignment horizontal="center" vertical="center" wrapText="1"/>
    </xf>
    <xf numFmtId="1" fontId="13" fillId="2" borderId="51" xfId="1" applyNumberFormat="1" applyFont="1" applyFill="1" applyBorder="1" applyAlignment="1" applyProtection="1">
      <alignment horizontal="center" vertical="center" wrapText="1"/>
    </xf>
    <xf numFmtId="1" fontId="13" fillId="2" borderId="52" xfId="1" applyNumberFormat="1" applyFont="1" applyFill="1" applyBorder="1" applyAlignment="1" applyProtection="1">
      <alignment horizontal="center" vertical="center" wrapText="1"/>
    </xf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26" fillId="2" borderId="1" xfId="19" applyNumberFormat="1" applyFont="1" applyFill="1" applyBorder="1" applyAlignment="1" applyProtection="1">
      <alignment horizontal="center" vertical="center" wrapText="1"/>
    </xf>
    <xf numFmtId="2" fontId="26" fillId="2" borderId="15" xfId="19" applyNumberFormat="1" applyFont="1" applyFill="1" applyBorder="1" applyAlignment="1" applyProtection="1">
      <alignment horizontal="center" vertical="center" wrapText="1"/>
    </xf>
    <xf numFmtId="2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2" borderId="51" xfId="1" applyFont="1" applyFill="1" applyBorder="1" applyProtection="1"/>
    <xf numFmtId="0" fontId="1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/>
  </cellXfs>
  <cellStyles count="20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Hyperlink" xfId="19" builtinId="8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4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ira.Manrikyan\Desktop\&#1332;&#1387;%20&#1384;&#1398;&#1380;%20&#1335;&#1397;&#1403;%20&#1331;&#1408;&#1400;&#1410;&#1402;%20&#1357;&#1354;&#1336;%2010&#1396;&#1388;&#1398;%20$%20Eurobond%20&#1415;%208%20&#1396;&#1388;&#1408;&#1380;%20&#1380;&#1408;&#1377;&#1396;\D&amp;H%2010%20mln%20$%20%20&#1411;&#1400;&#1411;.%20&#1379;&#1400;&#1408;&#1390;&#1400;&#13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Հաշվարկ 10 մլն հին"/>
      <sheetName val="Սաթունց"/>
    </sheetNames>
    <sheetDataSet>
      <sheetData sheetId="0">
        <row r="55">
          <cell r="I55">
            <v>37945.651610226625</v>
          </cell>
        </row>
        <row r="56">
          <cell r="I56">
            <v>37130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\..\TEXEKANQNER\Paymanagrer\Avand.Hatucum\Avandn%20Himnad.%20vark.paym.pdf" TargetMode="External"/><Relationship Id="rId13" Type="http://schemas.openxmlformats.org/officeDocument/2006/relationships/hyperlink" Target="..\..\TEXEKANQNER\Paymanagrer\BEC&amp;Yerevan_GEK_52%20mln$_VZMB_OK\Entavarkain%20paymanagir_BEC.pdf" TargetMode="External"/><Relationship Id="rId3" Type="http://schemas.openxmlformats.org/officeDocument/2006/relationships/hyperlink" Target="..\..\TEXEKANQNER\Paymanagrer\BEC%2014.6%20mln%20Euro%20Gyumri_07.10.09\Gravi%20paymanagir.pdf" TargetMode="External"/><Relationship Id="rId7" Type="http://schemas.openxmlformats.org/officeDocument/2006/relationships/hyperlink" Target="..\..\TEXEKANQNER\Paymanagrer\BEC%2014.06.%20mln%20Euro%20Kamo-Vanadzor_25.06.99\Pahman%20paymanagir_BEC_14,06.pdf" TargetMode="External"/><Relationship Id="rId12" Type="http://schemas.openxmlformats.org/officeDocument/2006/relationships/hyperlink" Target="..\..\TEXEKANQNER\Paymanagrer\BEC&amp;Yerevan_GEK_52%20mln$_VZMB_OK\Varkain%20hamadzaynagir.pdf" TargetMode="External"/><Relationship Id="rId2" Type="http://schemas.openxmlformats.org/officeDocument/2006/relationships/hyperlink" Target="..\..\TEXEKANQNER\Paymanagrer\BEC%2014.6%20mln%20Euro%20Gyumri_07.10.09\Entavarkayin_paymanagir.pdf" TargetMode="External"/><Relationship Id="rId1" Type="http://schemas.openxmlformats.org/officeDocument/2006/relationships/hyperlink" Target="..\..\TEXEKANQNER\Paymanagrer\BEC%2014.6%20mln%20Euro%20Gyumri_07.10.09\Varkain_Hamazaynagir.pdf" TargetMode="External"/><Relationship Id="rId6" Type="http://schemas.openxmlformats.org/officeDocument/2006/relationships/hyperlink" Target="..\..\TEXEKANQNER\Paymanagrer\BEC%2014.06.%20mln%20Euro%20Kamo-Vanadzor_25.06.99\Entavarkain%20paymanagir.pdf" TargetMode="External"/><Relationship Id="rId11" Type="http://schemas.openxmlformats.org/officeDocument/2006/relationships/hyperlink" Target="..\..\TEXEKANQNER\Paymanagrer\Atomakayan_63.2%20mlrd%20dram\Paymanagir_atomakayam_25.pdf" TargetMode="External"/><Relationship Id="rId5" Type="http://schemas.openxmlformats.org/officeDocument/2006/relationships/hyperlink" Target="..\..\TEXEKANQNER\Paymanagrer\BEC%2014.06.%20mln%20Euro%20Kamo-Vanadzor_25.06.99\Varkajin%20paymanagir.pdf" TargetMode="External"/><Relationship Id="rId15" Type="http://schemas.openxmlformats.org/officeDocument/2006/relationships/comments" Target="../comments5.xml"/><Relationship Id="rId10" Type="http://schemas.openxmlformats.org/officeDocument/2006/relationships/hyperlink" Target="..\..\TEXEKANQNER\Paymanagrer\Atomakayan_63.2%20mlrd%20dram\&#1344;&#1329;&#1335;&#1343;-&#1387;%20&#1406;&#1377;&#1408;&#1391;&#1377;&#1397;&#1387;&#1398;%20&#1402;&#1377;&#1397;&#1396;.%2063.2%20&#1396;&#1388;&#1408;&#1380;.pdf" TargetMode="External"/><Relationship Id="rId4" Type="http://schemas.openxmlformats.org/officeDocument/2006/relationships/hyperlink" Target="..\..\TEXEKANQNER\Paymanagrer\BEC%2014.6%20mln%20Euro%20Gyumri_07.10.09\Pahman%20paymangir_BEC_14,6mlnEURO_KfW.pdf" TargetMode="External"/><Relationship Id="rId9" Type="http://schemas.openxmlformats.org/officeDocument/2006/relationships/hyperlink" Target="..\..\TEXEKANQNER\Paymanagrer\Atomakayan_63.2%20mlrd%20dram\953-N%20&#1392;&#1387;&#1396;&#1398;&#1377;&#1391;&#1377;&#1398;.pdf" TargetMode="External"/><Relationship Id="rId1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workbookViewId="0">
      <selection activeCell="D5" sqref="D5:D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140625" style="6" customWidth="1"/>
    <col min="5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</row>
    <row r="2" spans="1:22" ht="49.5" customHeight="1" x14ac:dyDescent="0.4">
      <c r="A2" s="570" t="s">
        <v>455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533">
        <v>1</v>
      </c>
      <c r="B5" s="571" t="s">
        <v>25</v>
      </c>
      <c r="C5" s="28" t="s">
        <v>26</v>
      </c>
      <c r="D5" s="530" t="s">
        <v>27</v>
      </c>
      <c r="E5" s="530" t="s">
        <v>29</v>
      </c>
      <c r="F5" s="29">
        <v>7300000</v>
      </c>
      <c r="G5" s="29">
        <v>5822389.5</v>
      </c>
      <c r="H5" s="30">
        <v>7.4999999999999997E-3</v>
      </c>
      <c r="I5" s="120"/>
      <c r="J5" s="126">
        <f t="shared" ref="J5:J15" si="0">G5-I5</f>
        <v>5822389.5</v>
      </c>
      <c r="K5" s="542" t="s">
        <v>299</v>
      </c>
      <c r="L5" s="106" t="s">
        <v>28</v>
      </c>
      <c r="M5" s="31" t="s">
        <v>29</v>
      </c>
      <c r="N5" s="138">
        <v>7300000</v>
      </c>
      <c r="O5" s="32">
        <f>5822389.5+13412.1+4470.7+716451.75+24588.85+716451.75+2235.35</f>
        <v>7299999.9999999991</v>
      </c>
      <c r="P5" s="30" t="s">
        <v>30</v>
      </c>
      <c r="Q5" s="32">
        <f>595000+119000+119000+119000+119000+119000</f>
        <v>1190000</v>
      </c>
      <c r="R5" s="32">
        <v>652083.5</v>
      </c>
      <c r="S5" s="138">
        <f t="shared" ref="S5:S33" si="1">O5-Q5</f>
        <v>6109999.9999999991</v>
      </c>
      <c r="T5" s="145" t="s">
        <v>31</v>
      </c>
      <c r="V5" s="5"/>
    </row>
    <row r="6" spans="1:22" ht="75.75" customHeight="1" outlineLevel="1" x14ac:dyDescent="0.25">
      <c r="A6" s="547"/>
      <c r="B6" s="528"/>
      <c r="C6" s="33" t="s">
        <v>32</v>
      </c>
      <c r="D6" s="553"/>
      <c r="E6" s="553"/>
      <c r="F6" s="34">
        <v>7300000</v>
      </c>
      <c r="G6" s="34">
        <v>7300000</v>
      </c>
      <c r="H6" s="117" t="s">
        <v>34</v>
      </c>
      <c r="I6" s="131"/>
      <c r="J6" s="116">
        <f t="shared" si="0"/>
        <v>7300000</v>
      </c>
      <c r="K6" s="552"/>
      <c r="L6" s="107" t="s">
        <v>33</v>
      </c>
      <c r="M6" s="135" t="s">
        <v>29</v>
      </c>
      <c r="N6" s="32">
        <v>7300000</v>
      </c>
      <c r="O6" s="32">
        <v>7299999.9999999981</v>
      </c>
      <c r="P6" s="117" t="s">
        <v>34</v>
      </c>
      <c r="Q6" s="32">
        <f>5474999.9+304166.7+304166.7+304166.7+304166.7+304166.7</f>
        <v>6995833.4000000013</v>
      </c>
      <c r="R6" s="32">
        <f>1226756+8356.16</f>
        <v>1235112.1599999999</v>
      </c>
      <c r="S6" s="32">
        <f t="shared" si="1"/>
        <v>304166.59999999683</v>
      </c>
      <c r="T6" s="140" t="s">
        <v>35</v>
      </c>
      <c r="V6" s="5"/>
    </row>
    <row r="7" spans="1:22" ht="64.5" customHeight="1" outlineLevel="1" x14ac:dyDescent="0.25">
      <c r="A7" s="104">
        <v>2</v>
      </c>
      <c r="B7" s="132" t="s">
        <v>25</v>
      </c>
      <c r="C7" s="132" t="s">
        <v>36</v>
      </c>
      <c r="D7" s="107" t="s">
        <v>27</v>
      </c>
      <c r="E7" s="135" t="s">
        <v>29</v>
      </c>
      <c r="F7" s="34">
        <v>14060527</v>
      </c>
      <c r="G7" s="34">
        <v>14060527</v>
      </c>
      <c r="H7" s="35">
        <v>7.4999999999999997E-3</v>
      </c>
      <c r="I7" s="34">
        <v>3044232</v>
      </c>
      <c r="J7" s="116">
        <f t="shared" si="0"/>
        <v>11016295</v>
      </c>
      <c r="K7" s="109" t="s">
        <v>300</v>
      </c>
      <c r="L7" s="107" t="s">
        <v>37</v>
      </c>
      <c r="M7" s="135" t="s">
        <v>29</v>
      </c>
      <c r="N7" s="32">
        <v>14060526.73</v>
      </c>
      <c r="O7" s="32">
        <v>14060526.73</v>
      </c>
      <c r="P7" s="35">
        <v>7.4999999999999997E-3</v>
      </c>
      <c r="Q7" s="32">
        <f>5858552.73979552+234342.1+234342.1+98055764.9/418.43+98932204.4/422.17+104987604.2/448.01</f>
        <v>7030263.2398433303</v>
      </c>
      <c r="R7" s="32">
        <f>1294472.69934396+40254.3+39195.3+16095956/418.43+15796672.6/422.17+16433280.1/448.01</f>
        <v>1486488.2092536527</v>
      </c>
      <c r="S7" s="32">
        <f t="shared" si="1"/>
        <v>7030263.4901566701</v>
      </c>
      <c r="T7" s="140" t="s">
        <v>31</v>
      </c>
      <c r="V7" s="5"/>
    </row>
    <row r="8" spans="1:22" ht="67.5" outlineLevel="1" x14ac:dyDescent="0.25">
      <c r="A8" s="104">
        <v>3</v>
      </c>
      <c r="B8" s="132" t="s">
        <v>25</v>
      </c>
      <c r="C8" s="132" t="s">
        <v>38</v>
      </c>
      <c r="D8" s="107" t="s">
        <v>27</v>
      </c>
      <c r="E8" s="135" t="s">
        <v>29</v>
      </c>
      <c r="F8" s="34">
        <v>75000000</v>
      </c>
      <c r="G8" s="34">
        <v>0</v>
      </c>
      <c r="H8" s="35">
        <v>1.8499999999999999E-2</v>
      </c>
      <c r="I8" s="131"/>
      <c r="J8" s="116">
        <f t="shared" si="0"/>
        <v>0</v>
      </c>
      <c r="K8" s="109" t="s">
        <v>301</v>
      </c>
      <c r="L8" s="107" t="s">
        <v>39</v>
      </c>
      <c r="M8" s="135" t="s">
        <v>29</v>
      </c>
      <c r="N8" s="32">
        <v>75000000</v>
      </c>
      <c r="O8" s="32"/>
      <c r="P8" s="35" t="s">
        <v>40</v>
      </c>
      <c r="Q8" s="32"/>
      <c r="R8" s="32">
        <f>1932812.5+93750+93750+93750+93750+42000937.5/448.01</f>
        <v>2401562.5</v>
      </c>
      <c r="S8" s="32">
        <f t="shared" si="1"/>
        <v>0</v>
      </c>
      <c r="T8" s="140" t="s">
        <v>35</v>
      </c>
      <c r="V8" s="5"/>
    </row>
    <row r="9" spans="1:22" ht="57.75" customHeight="1" outlineLevel="1" x14ac:dyDescent="0.25">
      <c r="A9" s="532">
        <v>4</v>
      </c>
      <c r="B9" s="521" t="s">
        <v>25</v>
      </c>
      <c r="C9" s="521" t="s">
        <v>38</v>
      </c>
      <c r="D9" s="107" t="s">
        <v>27</v>
      </c>
      <c r="E9" s="135" t="s">
        <v>29</v>
      </c>
      <c r="F9" s="34">
        <v>10200000</v>
      </c>
      <c r="G9" s="34">
        <v>0</v>
      </c>
      <c r="H9" s="35">
        <v>7.4999999999999997E-3</v>
      </c>
      <c r="I9" s="117"/>
      <c r="J9" s="116">
        <f t="shared" si="0"/>
        <v>0</v>
      </c>
      <c r="K9" s="541" t="s">
        <v>301</v>
      </c>
      <c r="L9" s="531" t="s">
        <v>41</v>
      </c>
      <c r="M9" s="135" t="s">
        <v>29</v>
      </c>
      <c r="N9" s="32">
        <v>10200000</v>
      </c>
      <c r="O9" s="32">
        <f>1075381.69+59500</f>
        <v>1134881.69</v>
      </c>
      <c r="P9" s="539" t="s">
        <v>30</v>
      </c>
      <c r="Q9" s="32">
        <v>0</v>
      </c>
      <c r="R9" s="32">
        <f>200690.672577969+15587.2+6522152.1/418.43+6580448.3/422.17+6983221.5/448.01</f>
        <v>263039.47283004946</v>
      </c>
      <c r="S9" s="32">
        <f>O9-Q9</f>
        <v>1134881.69</v>
      </c>
      <c r="T9" s="510" t="s">
        <v>35</v>
      </c>
      <c r="V9" s="5"/>
    </row>
    <row r="10" spans="1:22" ht="57.75" customHeight="1" outlineLevel="1" x14ac:dyDescent="0.25">
      <c r="A10" s="533"/>
      <c r="B10" s="528"/>
      <c r="C10" s="528"/>
      <c r="D10" s="107"/>
      <c r="E10" s="135"/>
      <c r="F10" s="34"/>
      <c r="G10" s="34"/>
      <c r="H10" s="35"/>
      <c r="I10" s="117"/>
      <c r="J10" s="116"/>
      <c r="K10" s="542"/>
      <c r="L10" s="530"/>
      <c r="M10" s="135" t="s">
        <v>2</v>
      </c>
      <c r="N10" s="32"/>
      <c r="O10" s="32">
        <v>244081445</v>
      </c>
      <c r="P10" s="559"/>
      <c r="Q10" s="32"/>
      <c r="R10" s="32">
        <f>9774294.3+915305.4+915305.4+915305.4</f>
        <v>12520210.500000002</v>
      </c>
      <c r="S10" s="32">
        <f>O10-Q10</f>
        <v>244081445</v>
      </c>
      <c r="T10" s="524"/>
      <c r="V10" s="5"/>
    </row>
    <row r="11" spans="1:22" ht="76.5" customHeight="1" outlineLevel="1" x14ac:dyDescent="0.25">
      <c r="A11" s="532">
        <v>5</v>
      </c>
      <c r="B11" s="521" t="s">
        <v>25</v>
      </c>
      <c r="C11" s="521" t="s">
        <v>42</v>
      </c>
      <c r="D11" s="107"/>
      <c r="E11" s="135"/>
      <c r="F11" s="34"/>
      <c r="G11" s="34"/>
      <c r="H11" s="35"/>
      <c r="I11" s="117"/>
      <c r="J11" s="116"/>
      <c r="K11" s="541" t="s">
        <v>302</v>
      </c>
      <c r="L11" s="531" t="s">
        <v>43</v>
      </c>
      <c r="M11" s="135" t="s">
        <v>29</v>
      </c>
      <c r="N11" s="32">
        <v>10000000</v>
      </c>
      <c r="O11" s="32"/>
      <c r="P11" s="539" t="s">
        <v>44</v>
      </c>
      <c r="Q11" s="32"/>
      <c r="R11" s="32">
        <v>50000</v>
      </c>
      <c r="S11" s="32">
        <f>O11-Q11</f>
        <v>0</v>
      </c>
      <c r="T11" s="510" t="s">
        <v>45</v>
      </c>
      <c r="V11" s="5"/>
    </row>
    <row r="12" spans="1:22" ht="76.5" customHeight="1" outlineLevel="1" x14ac:dyDescent="0.25">
      <c r="A12" s="533"/>
      <c r="B12" s="528"/>
      <c r="C12" s="528"/>
      <c r="D12" s="107"/>
      <c r="E12" s="135"/>
      <c r="F12" s="34"/>
      <c r="G12" s="34"/>
      <c r="H12" s="35"/>
      <c r="I12" s="117"/>
      <c r="J12" s="116"/>
      <c r="K12" s="542"/>
      <c r="L12" s="530"/>
      <c r="M12" s="107" t="s">
        <v>2</v>
      </c>
      <c r="N12" s="32"/>
      <c r="O12" s="32"/>
      <c r="P12" s="559"/>
      <c r="Q12" s="32"/>
      <c r="R12" s="32"/>
      <c r="S12" s="32">
        <f t="shared" si="1"/>
        <v>0</v>
      </c>
      <c r="T12" s="524"/>
      <c r="V12" s="5"/>
    </row>
    <row r="13" spans="1:22" ht="76.5" customHeight="1" outlineLevel="1" x14ac:dyDescent="0.25">
      <c r="A13" s="532">
        <v>6</v>
      </c>
      <c r="B13" s="521" t="s">
        <v>25</v>
      </c>
      <c r="C13" s="521" t="s">
        <v>46</v>
      </c>
      <c r="D13" s="107"/>
      <c r="E13" s="135"/>
      <c r="F13" s="34"/>
      <c r="G13" s="34"/>
      <c r="H13" s="35"/>
      <c r="I13" s="117"/>
      <c r="J13" s="116"/>
      <c r="K13" s="541" t="s">
        <v>303</v>
      </c>
      <c r="L13" s="531" t="s">
        <v>47</v>
      </c>
      <c r="M13" s="135" t="s">
        <v>29</v>
      </c>
      <c r="N13" s="32">
        <v>83000000</v>
      </c>
      <c r="O13" s="32"/>
      <c r="P13" s="539">
        <v>1.7999999999999999E-2</v>
      </c>
      <c r="Q13" s="32"/>
      <c r="R13" s="32">
        <f>1930326.40003794+103750+103750+103750+103750+46481037.5/448.01</f>
        <v>2449076.4000379397</v>
      </c>
      <c r="S13" s="32">
        <f t="shared" si="1"/>
        <v>0</v>
      </c>
      <c r="T13" s="510" t="s">
        <v>35</v>
      </c>
      <c r="V13" s="5"/>
    </row>
    <row r="14" spans="1:22" ht="76.5" customHeight="1" outlineLevel="1" x14ac:dyDescent="0.25">
      <c r="A14" s="533"/>
      <c r="B14" s="528"/>
      <c r="C14" s="528"/>
      <c r="D14" s="107"/>
      <c r="E14" s="135"/>
      <c r="F14" s="34"/>
      <c r="G14" s="34"/>
      <c r="H14" s="35"/>
      <c r="I14" s="117"/>
      <c r="J14" s="116"/>
      <c r="K14" s="542"/>
      <c r="L14" s="530"/>
      <c r="M14" s="107" t="s">
        <v>2</v>
      </c>
      <c r="N14" s="32"/>
      <c r="O14" s="32"/>
      <c r="P14" s="559"/>
      <c r="Q14" s="32"/>
      <c r="R14" s="32"/>
      <c r="S14" s="32">
        <f t="shared" si="1"/>
        <v>0</v>
      </c>
      <c r="T14" s="524"/>
      <c r="U14" s="8"/>
      <c r="V14" s="5"/>
    </row>
    <row r="15" spans="1:22" ht="96.75" customHeight="1" outlineLevel="1" x14ac:dyDescent="0.25">
      <c r="A15" s="547">
        <v>7</v>
      </c>
      <c r="B15" s="521" t="s">
        <v>25</v>
      </c>
      <c r="C15" s="521" t="s">
        <v>48</v>
      </c>
      <c r="D15" s="553" t="s">
        <v>49</v>
      </c>
      <c r="E15" s="555" t="s">
        <v>51</v>
      </c>
      <c r="F15" s="556">
        <v>39000000</v>
      </c>
      <c r="G15" s="556">
        <f>18026903.76+130476.4+43674.47+204502+159552.28+20280.3+101559+88268.89+153855.7+63854.08</f>
        <v>18992926.879999999</v>
      </c>
      <c r="H15" s="555" t="s">
        <v>430</v>
      </c>
      <c r="I15" s="550"/>
      <c r="J15" s="550">
        <f t="shared" si="0"/>
        <v>18992926.879999999</v>
      </c>
      <c r="K15" s="552" t="s">
        <v>304</v>
      </c>
      <c r="L15" s="553" t="s">
        <v>50</v>
      </c>
      <c r="M15" s="135" t="s">
        <v>51</v>
      </c>
      <c r="N15" s="32">
        <f>35500000-1434414.8</f>
        <v>34065585.200000003</v>
      </c>
      <c r="O15" s="32">
        <v>34065585.200000003</v>
      </c>
      <c r="P15" s="555" t="s">
        <v>367</v>
      </c>
      <c r="Q15" s="32">
        <f>3406558.5+438685248.4/386.33+457603003.3/402.99</f>
        <v>5677597.4998969967</v>
      </c>
      <c r="R15" s="32">
        <f>6927866.15+372600334/386.33+433310604.9/402.99</f>
        <v>8967566.5499026012</v>
      </c>
      <c r="S15" s="32">
        <f t="shared" si="1"/>
        <v>28387987.700103007</v>
      </c>
      <c r="T15" s="510" t="s">
        <v>52</v>
      </c>
      <c r="U15" s="8"/>
      <c r="V15" s="5"/>
    </row>
    <row r="16" spans="1:22" ht="68.25" customHeight="1" outlineLevel="1" x14ac:dyDescent="0.25">
      <c r="A16" s="547"/>
      <c r="B16" s="528"/>
      <c r="C16" s="528"/>
      <c r="D16" s="553"/>
      <c r="E16" s="555"/>
      <c r="F16" s="556"/>
      <c r="G16" s="556"/>
      <c r="H16" s="555"/>
      <c r="I16" s="550"/>
      <c r="J16" s="550"/>
      <c r="K16" s="552"/>
      <c r="L16" s="553"/>
      <c r="M16" s="107" t="s">
        <v>2</v>
      </c>
      <c r="N16" s="32"/>
      <c r="O16" s="32">
        <v>3680136115.8000002</v>
      </c>
      <c r="P16" s="555"/>
      <c r="Q16" s="32">
        <f>387003402.1+121967878.3+121967878.3</f>
        <v>630939158.70000005</v>
      </c>
      <c r="R16" s="32">
        <f>743758864.24+103594252.5+115493072.7</f>
        <v>962846189.44000006</v>
      </c>
      <c r="S16" s="32">
        <f t="shared" si="1"/>
        <v>3049196957.1000004</v>
      </c>
      <c r="T16" s="524"/>
      <c r="U16" s="8"/>
      <c r="V16" s="5"/>
    </row>
    <row r="17" spans="1:21" s="5" customFormat="1" ht="81" customHeight="1" outlineLevel="1" x14ac:dyDescent="0.25">
      <c r="A17" s="532">
        <v>8</v>
      </c>
      <c r="B17" s="521" t="s">
        <v>25</v>
      </c>
      <c r="C17" s="521" t="s">
        <v>53</v>
      </c>
      <c r="D17" s="531" t="s">
        <v>49</v>
      </c>
      <c r="E17" s="117" t="s">
        <v>51</v>
      </c>
      <c r="F17" s="34">
        <v>40000000</v>
      </c>
      <c r="G17" s="116">
        <v>100000</v>
      </c>
      <c r="H17" s="117" t="s">
        <v>430</v>
      </c>
      <c r="I17" s="116">
        <v>0</v>
      </c>
      <c r="J17" s="116">
        <f>G17-I17</f>
        <v>100000</v>
      </c>
      <c r="K17" s="541" t="s">
        <v>305</v>
      </c>
      <c r="L17" s="541" t="s">
        <v>54</v>
      </c>
      <c r="M17" s="135" t="s">
        <v>51</v>
      </c>
      <c r="N17" s="34">
        <f>40000000-2500000-1500000</f>
        <v>36000000</v>
      </c>
      <c r="O17" s="32">
        <v>25696827.510000002</v>
      </c>
      <c r="P17" s="35" t="s">
        <v>367</v>
      </c>
      <c r="Q17" s="32">
        <v>0</v>
      </c>
      <c r="R17" s="32">
        <v>4091306.4512348948</v>
      </c>
      <c r="S17" s="32">
        <f t="shared" si="1"/>
        <v>25696827.510000002</v>
      </c>
      <c r="T17" s="510" t="s">
        <v>52</v>
      </c>
      <c r="U17" s="8"/>
    </row>
    <row r="18" spans="1:21" s="5" customFormat="1" ht="39.75" customHeight="1" outlineLevel="1" x14ac:dyDescent="0.25">
      <c r="A18" s="533"/>
      <c r="B18" s="528"/>
      <c r="C18" s="528"/>
      <c r="D18" s="530"/>
      <c r="E18" s="117"/>
      <c r="F18" s="34"/>
      <c r="G18" s="116"/>
      <c r="H18" s="117"/>
      <c r="I18" s="116"/>
      <c r="J18" s="116"/>
      <c r="K18" s="542"/>
      <c r="L18" s="542"/>
      <c r="M18" s="107" t="s">
        <v>2</v>
      </c>
      <c r="N18" s="34"/>
      <c r="O18" s="32">
        <v>1009149275.1</v>
      </c>
      <c r="P18" s="35"/>
      <c r="Q18" s="32">
        <v>563212.19999999995</v>
      </c>
      <c r="R18" s="32">
        <v>165583419.29999998</v>
      </c>
      <c r="S18" s="32">
        <f t="shared" si="1"/>
        <v>1008586062.9</v>
      </c>
      <c r="T18" s="524"/>
      <c r="U18" s="8"/>
    </row>
    <row r="19" spans="1:21" s="5" customFormat="1" ht="70.5" customHeight="1" outlineLevel="1" x14ac:dyDescent="0.25">
      <c r="A19" s="532">
        <v>9</v>
      </c>
      <c r="B19" s="534" t="s">
        <v>25</v>
      </c>
      <c r="C19" s="521" t="s">
        <v>55</v>
      </c>
      <c r="D19" s="531" t="s">
        <v>49</v>
      </c>
      <c r="E19" s="555" t="s">
        <v>51</v>
      </c>
      <c r="F19" s="556">
        <v>52000000</v>
      </c>
      <c r="G19" s="550">
        <v>130000</v>
      </c>
      <c r="H19" s="555" t="s">
        <v>430</v>
      </c>
      <c r="I19" s="550"/>
      <c r="J19" s="550">
        <f>G19-I19</f>
        <v>130000</v>
      </c>
      <c r="K19" s="541" t="s">
        <v>306</v>
      </c>
      <c r="L19" s="541" t="s">
        <v>56</v>
      </c>
      <c r="M19" s="135" t="s">
        <v>51</v>
      </c>
      <c r="N19" s="34">
        <v>23194486</v>
      </c>
      <c r="O19" s="32">
        <v>13607506.780000001</v>
      </c>
      <c r="P19" s="539" t="s">
        <v>367</v>
      </c>
      <c r="Q19" s="32">
        <v>0</v>
      </c>
      <c r="R19" s="32">
        <f>1316813.632+122778919.2/386.33+153358408.7/402.99</f>
        <v>2015173.4321072174</v>
      </c>
      <c r="S19" s="32">
        <f t="shared" si="1"/>
        <v>13607506.780000001</v>
      </c>
      <c r="T19" s="510" t="s">
        <v>52</v>
      </c>
      <c r="U19" s="8"/>
    </row>
    <row r="20" spans="1:21" s="5" customFormat="1" ht="54.75" customHeight="1" outlineLevel="1" x14ac:dyDescent="0.25">
      <c r="A20" s="533"/>
      <c r="B20" s="527"/>
      <c r="C20" s="522"/>
      <c r="D20" s="529"/>
      <c r="E20" s="555"/>
      <c r="F20" s="556"/>
      <c r="G20" s="550"/>
      <c r="H20" s="555"/>
      <c r="I20" s="550"/>
      <c r="J20" s="550"/>
      <c r="K20" s="542"/>
      <c r="L20" s="542"/>
      <c r="M20" s="107" t="s">
        <v>2</v>
      </c>
      <c r="N20" s="34"/>
      <c r="O20" s="32">
        <v>1673505397.0999999</v>
      </c>
      <c r="P20" s="558"/>
      <c r="Q20" s="32">
        <v>91463799.799999997</v>
      </c>
      <c r="R20" s="32">
        <f>119885553.7+36155098.5+43333756.7</f>
        <v>199374408.89999998</v>
      </c>
      <c r="S20" s="32">
        <f t="shared" si="1"/>
        <v>1582041597.3</v>
      </c>
      <c r="T20" s="524"/>
      <c r="U20" s="8"/>
    </row>
    <row r="21" spans="1:21" s="5" customFormat="1" ht="60" customHeight="1" outlineLevel="1" x14ac:dyDescent="0.25">
      <c r="A21" s="532">
        <v>10</v>
      </c>
      <c r="B21" s="534" t="s">
        <v>57</v>
      </c>
      <c r="C21" s="522"/>
      <c r="D21" s="529"/>
      <c r="E21" s="555"/>
      <c r="F21" s="556"/>
      <c r="G21" s="550"/>
      <c r="H21" s="555"/>
      <c r="I21" s="550"/>
      <c r="J21" s="550"/>
      <c r="K21" s="541" t="s">
        <v>307</v>
      </c>
      <c r="L21" s="541" t="s">
        <v>56</v>
      </c>
      <c r="M21" s="135" t="s">
        <v>51</v>
      </c>
      <c r="N21" s="32">
        <v>16662617.070000002</v>
      </c>
      <c r="O21" s="32">
        <v>16662617.070000002</v>
      </c>
      <c r="P21" s="558"/>
      <c r="Q21" s="32"/>
      <c r="R21" s="32">
        <f>2194958+182027405/386.38+218562808/403.19</f>
        <v>3208151.702122347</v>
      </c>
      <c r="S21" s="32">
        <f t="shared" si="1"/>
        <v>16662617.070000002</v>
      </c>
      <c r="T21" s="510" t="s">
        <v>52</v>
      </c>
      <c r="U21" s="8"/>
    </row>
    <row r="22" spans="1:21" s="5" customFormat="1" ht="40.5" customHeight="1" outlineLevel="1" x14ac:dyDescent="0.25">
      <c r="A22" s="533"/>
      <c r="B22" s="527"/>
      <c r="C22" s="528"/>
      <c r="D22" s="530"/>
      <c r="E22" s="127"/>
      <c r="F22" s="130"/>
      <c r="G22" s="124"/>
      <c r="H22" s="127"/>
      <c r="I22" s="124"/>
      <c r="J22" s="124"/>
      <c r="K22" s="542"/>
      <c r="L22" s="542"/>
      <c r="M22" s="135" t="s">
        <v>2</v>
      </c>
      <c r="N22" s="6"/>
      <c r="O22" s="32">
        <v>2003005775.2</v>
      </c>
      <c r="P22" s="559"/>
      <c r="Q22" s="32"/>
      <c r="R22" s="32">
        <f>238604865.8+56631905+65163658.9</f>
        <v>360400429.69999999</v>
      </c>
      <c r="S22" s="32">
        <f t="shared" si="1"/>
        <v>2003005775.2</v>
      </c>
      <c r="T22" s="524"/>
      <c r="U22" s="8"/>
    </row>
    <row r="23" spans="1:21" s="5" customFormat="1" ht="57.75" customHeight="1" outlineLevel="1" x14ac:dyDescent="0.25">
      <c r="A23" s="532">
        <v>11</v>
      </c>
      <c r="B23" s="534" t="s">
        <v>25</v>
      </c>
      <c r="C23" s="521" t="s">
        <v>58</v>
      </c>
      <c r="D23" s="531" t="s">
        <v>59</v>
      </c>
      <c r="E23" s="563" t="s">
        <v>431</v>
      </c>
      <c r="F23" s="566">
        <v>24022000</v>
      </c>
      <c r="G23" s="560">
        <f>O23+O25</f>
        <v>18384172.012149811</v>
      </c>
      <c r="H23" s="563">
        <v>0.02</v>
      </c>
      <c r="I23" s="560">
        <v>0</v>
      </c>
      <c r="J23" s="560">
        <f>G23-I23</f>
        <v>18384172.012149811</v>
      </c>
      <c r="K23" s="541" t="s">
        <v>305</v>
      </c>
      <c r="L23" s="531" t="s">
        <v>60</v>
      </c>
      <c r="M23" s="135" t="s">
        <v>61</v>
      </c>
      <c r="N23" s="36">
        <v>13988153</v>
      </c>
      <c r="O23" s="32">
        <v>8262785.6411363389</v>
      </c>
      <c r="P23" s="539">
        <v>3.1399999999999997E-2</v>
      </c>
      <c r="Q23" s="32">
        <f>1430873.60020494+107795234.9/520.68+109739226/530.07</f>
        <v>1844929.200299131</v>
      </c>
      <c r="R23" s="32">
        <f>1219413.93+55848657.5/520.68+55104222/530.07</f>
        <v>1430631.4301233056</v>
      </c>
      <c r="S23" s="32">
        <f t="shared" si="1"/>
        <v>6417856.4408372082</v>
      </c>
      <c r="T23" s="510" t="s">
        <v>52</v>
      </c>
      <c r="U23" s="8"/>
    </row>
    <row r="24" spans="1:21" s="5" customFormat="1" ht="32.25" customHeight="1" outlineLevel="1" x14ac:dyDescent="0.25">
      <c r="A24" s="533"/>
      <c r="B24" s="527"/>
      <c r="C24" s="522"/>
      <c r="D24" s="529"/>
      <c r="E24" s="564"/>
      <c r="F24" s="567"/>
      <c r="G24" s="561"/>
      <c r="H24" s="564"/>
      <c r="I24" s="561"/>
      <c r="J24" s="561"/>
      <c r="K24" s="542"/>
      <c r="L24" s="530"/>
      <c r="M24" s="107" t="s">
        <v>2</v>
      </c>
      <c r="N24" s="37"/>
      <c r="O24" s="32">
        <v>1194787815</v>
      </c>
      <c r="P24" s="559"/>
      <c r="Q24" s="32">
        <f>209123295.3+29868621.8+29868621.8</f>
        <v>268860538.90000004</v>
      </c>
      <c r="R24" s="32">
        <f>177460224.6+15474933+14998180</f>
        <v>207933337.59999999</v>
      </c>
      <c r="S24" s="32">
        <f t="shared" si="1"/>
        <v>925927276.0999999</v>
      </c>
      <c r="T24" s="524"/>
      <c r="U24" s="8"/>
    </row>
    <row r="25" spans="1:21" s="5" customFormat="1" ht="51.75" customHeight="1" outlineLevel="1" x14ac:dyDescent="0.25">
      <c r="A25" s="532">
        <v>12</v>
      </c>
      <c r="B25" s="534" t="s">
        <v>62</v>
      </c>
      <c r="C25" s="522"/>
      <c r="D25" s="529"/>
      <c r="E25" s="564"/>
      <c r="F25" s="567"/>
      <c r="G25" s="561"/>
      <c r="H25" s="564"/>
      <c r="I25" s="561"/>
      <c r="J25" s="561"/>
      <c r="K25" s="541" t="s">
        <v>308</v>
      </c>
      <c r="L25" s="531" t="s">
        <v>60</v>
      </c>
      <c r="M25" s="135" t="s">
        <v>61</v>
      </c>
      <c r="N25" s="36">
        <v>10098535</v>
      </c>
      <c r="O25" s="32">
        <v>10121386.37101347</v>
      </c>
      <c r="P25" s="539">
        <v>3.1399999999999997E-2</v>
      </c>
      <c r="Q25" s="32">
        <f>1520990.1+136750579/520.29+138244588/530.59</f>
        <v>2044374.2018585065</v>
      </c>
      <c r="R25" s="32">
        <f>832426.027338+83294453/525+70252782/520.29+69454072/530.59</f>
        <v>1257008.0293966178</v>
      </c>
      <c r="S25" s="32">
        <f t="shared" si="1"/>
        <v>8077012.1691549635</v>
      </c>
      <c r="T25" s="510" t="s">
        <v>52</v>
      </c>
      <c r="U25" s="8"/>
    </row>
    <row r="26" spans="1:21" s="5" customFormat="1" ht="32.25" customHeight="1" outlineLevel="1" x14ac:dyDescent="0.25">
      <c r="A26" s="533"/>
      <c r="B26" s="527"/>
      <c r="C26" s="528"/>
      <c r="D26" s="530"/>
      <c r="E26" s="565"/>
      <c r="F26" s="568"/>
      <c r="G26" s="562"/>
      <c r="H26" s="565"/>
      <c r="I26" s="562"/>
      <c r="J26" s="562"/>
      <c r="K26" s="542"/>
      <c r="L26" s="530"/>
      <c r="M26" s="107" t="s">
        <v>2</v>
      </c>
      <c r="N26" s="37"/>
      <c r="O26" s="32">
        <v>794162455.89999998</v>
      </c>
      <c r="P26" s="559"/>
      <c r="Q26" s="32">
        <f>123592049.7+20623615+20310837</f>
        <v>164526501.69999999</v>
      </c>
      <c r="R26" s="32">
        <f>78534680.8+10527955+10204165</f>
        <v>99266800.799999997</v>
      </c>
      <c r="S26" s="32">
        <f t="shared" si="1"/>
        <v>629635954.20000005</v>
      </c>
      <c r="T26" s="524"/>
      <c r="U26" s="8"/>
    </row>
    <row r="27" spans="1:21" s="5" customFormat="1" ht="48" customHeight="1" outlineLevel="1" x14ac:dyDescent="0.25">
      <c r="A27" s="104">
        <v>13</v>
      </c>
      <c r="B27" s="131" t="s">
        <v>25</v>
      </c>
      <c r="C27" s="548" t="s">
        <v>63</v>
      </c>
      <c r="D27" s="553" t="s">
        <v>64</v>
      </c>
      <c r="E27" s="117" t="s">
        <v>432</v>
      </c>
      <c r="F27" s="550">
        <v>15000000</v>
      </c>
      <c r="G27" s="550">
        <v>15000000</v>
      </c>
      <c r="H27" s="551">
        <v>1.4500000000000001E-2</v>
      </c>
      <c r="I27" s="550">
        <v>2437500</v>
      </c>
      <c r="J27" s="550">
        <f>G27-I27</f>
        <v>12562500</v>
      </c>
      <c r="K27" s="109" t="s">
        <v>309</v>
      </c>
      <c r="L27" s="107" t="s">
        <v>65</v>
      </c>
      <c r="M27" s="135" t="s">
        <v>51</v>
      </c>
      <c r="N27" s="32">
        <v>19600000</v>
      </c>
      <c r="O27" s="32">
        <v>19419334.870000001</v>
      </c>
      <c r="P27" s="38">
        <v>5.0000000000000001E-3</v>
      </c>
      <c r="Q27" s="32">
        <f>9716960.66852489+189584407.5/488.5+172026989.7/443.26+153375144/395.2+150045288.9/386.62+156421689.8/403.05</f>
        <v>11657435.668648943</v>
      </c>
      <c r="R27" s="32">
        <f>1129921.93024286+16077756.3/488.5+14096288.6/443.26+12233850.7/395.2+11546870.2/386.62+11574265.9/403.05</f>
        <v>1284174.8301751786</v>
      </c>
      <c r="S27" s="32">
        <f t="shared" si="1"/>
        <v>7761899.2013510577</v>
      </c>
      <c r="T27" s="140" t="s">
        <v>52</v>
      </c>
      <c r="U27" s="8"/>
    </row>
    <row r="28" spans="1:21" s="5" customFormat="1" ht="60" customHeight="1" outlineLevel="1" x14ac:dyDescent="0.25">
      <c r="A28" s="104">
        <v>14</v>
      </c>
      <c r="B28" s="131" t="s">
        <v>62</v>
      </c>
      <c r="C28" s="548"/>
      <c r="D28" s="553"/>
      <c r="E28" s="117" t="s">
        <v>432</v>
      </c>
      <c r="F28" s="550"/>
      <c r="G28" s="550"/>
      <c r="H28" s="551"/>
      <c r="I28" s="550"/>
      <c r="J28" s="550"/>
      <c r="K28" s="109" t="s">
        <v>310</v>
      </c>
      <c r="L28" s="107" t="s">
        <v>66</v>
      </c>
      <c r="M28" s="135" t="s">
        <v>51</v>
      </c>
      <c r="N28" s="32">
        <v>297276.53999999998</v>
      </c>
      <c r="O28" s="32">
        <v>297276.53999999998</v>
      </c>
      <c r="P28" s="35" t="s">
        <v>67</v>
      </c>
      <c r="Q28" s="32">
        <f>257638.543537781+4361667/440.15+3916234/395.2+3837157/387.22+3994520/403.1</f>
        <v>297276.54625526333</v>
      </c>
      <c r="R28" s="32">
        <f>229541.53251276+1912186/489.99+1556591/440.15+1259898/395.2+1094284/387.22+991707/403.1</f>
        <v>245454.73643449965</v>
      </c>
      <c r="S28" s="32">
        <f t="shared" si="1"/>
        <v>-6.255263346247375E-3</v>
      </c>
      <c r="T28" s="140" t="s">
        <v>52</v>
      </c>
      <c r="U28" s="8"/>
    </row>
    <row r="29" spans="1:21" s="5" customFormat="1" ht="51" customHeight="1" outlineLevel="1" x14ac:dyDescent="0.25">
      <c r="A29" s="104">
        <v>15</v>
      </c>
      <c r="B29" s="131" t="s">
        <v>62</v>
      </c>
      <c r="C29" s="554" t="s">
        <v>68</v>
      </c>
      <c r="D29" s="553" t="s">
        <v>69</v>
      </c>
      <c r="E29" s="555" t="s">
        <v>71</v>
      </c>
      <c r="F29" s="556">
        <f>5075000000+324000000</f>
        <v>5399000000</v>
      </c>
      <c r="G29" s="550">
        <f>5062807492+305504477</f>
        <v>5368311969</v>
      </c>
      <c r="H29" s="557" t="s">
        <v>433</v>
      </c>
      <c r="I29" s="550">
        <f>1729684492+71162477</f>
        <v>1800846969</v>
      </c>
      <c r="J29" s="550">
        <f>G29-I29</f>
        <v>3567465000</v>
      </c>
      <c r="K29" s="109" t="s">
        <v>311</v>
      </c>
      <c r="L29" s="107" t="s">
        <v>70</v>
      </c>
      <c r="M29" s="107" t="s">
        <v>71</v>
      </c>
      <c r="N29" s="32">
        <v>1571940173.3299999</v>
      </c>
      <c r="O29" s="32">
        <v>1598519063</v>
      </c>
      <c r="P29" s="38">
        <v>1.7999999999999999E-2</v>
      </c>
      <c r="Q29" s="32">
        <f>1030178646.5+123394332/3.026+109815247/2.693</f>
        <v>1111734715.4027808</v>
      </c>
      <c r="R29" s="32">
        <f>226837831.925937+13873556/3.026+11211247/2.693</f>
        <v>235585722.74296552</v>
      </c>
      <c r="S29" s="32">
        <f t="shared" si="1"/>
        <v>486784347.59721923</v>
      </c>
      <c r="T29" s="140" t="s">
        <v>52</v>
      </c>
      <c r="U29" s="8"/>
    </row>
    <row r="30" spans="1:21" s="5" customFormat="1" ht="41.25" customHeight="1" outlineLevel="1" x14ac:dyDescent="0.25">
      <c r="A30" s="104">
        <v>16</v>
      </c>
      <c r="B30" s="132" t="s">
        <v>72</v>
      </c>
      <c r="C30" s="554"/>
      <c r="D30" s="553"/>
      <c r="E30" s="555"/>
      <c r="F30" s="556"/>
      <c r="G30" s="550"/>
      <c r="H30" s="557"/>
      <c r="I30" s="550"/>
      <c r="J30" s="550"/>
      <c r="K30" s="109" t="s">
        <v>312</v>
      </c>
      <c r="L30" s="107" t="s">
        <v>70</v>
      </c>
      <c r="M30" s="107" t="s">
        <v>71</v>
      </c>
      <c r="N30" s="32">
        <v>3796371795.6700001</v>
      </c>
      <c r="O30" s="32">
        <v>3861444249</v>
      </c>
      <c r="P30" s="38">
        <v>1.7999999999999999E-2</v>
      </c>
      <c r="Q30" s="32">
        <f>2513837447.56+291897058.6/3.026+259774877.3/2.693</f>
        <v>2706763461.1630621</v>
      </c>
      <c r="R30" s="32">
        <f>553224853.256799+32762341/3.026+26475306.9/2.693</f>
        <v>573882957.45934212</v>
      </c>
      <c r="S30" s="32">
        <f t="shared" si="1"/>
        <v>1154680787.8369379</v>
      </c>
      <c r="T30" s="140" t="s">
        <v>52</v>
      </c>
      <c r="U30" s="8"/>
    </row>
    <row r="31" spans="1:21" s="5" customFormat="1" ht="33.75" customHeight="1" outlineLevel="1" x14ac:dyDescent="0.25">
      <c r="A31" s="547">
        <v>17</v>
      </c>
      <c r="B31" s="554" t="s">
        <v>73</v>
      </c>
      <c r="C31" s="548" t="s">
        <v>74</v>
      </c>
      <c r="D31" s="553" t="s">
        <v>64</v>
      </c>
      <c r="E31" s="555" t="s">
        <v>432</v>
      </c>
      <c r="F31" s="550">
        <v>10000000</v>
      </c>
      <c r="G31" s="550">
        <v>9972457.2400000002</v>
      </c>
      <c r="H31" s="551">
        <v>1.4500000000000001E-2</v>
      </c>
      <c r="I31" s="550">
        <v>0</v>
      </c>
      <c r="J31" s="550">
        <f>G31-I31</f>
        <v>9972457.2400000002</v>
      </c>
      <c r="K31" s="552" t="s">
        <v>313</v>
      </c>
      <c r="L31" s="553" t="s">
        <v>75</v>
      </c>
      <c r="M31" s="135" t="s">
        <v>51</v>
      </c>
      <c r="N31" s="32">
        <v>4846628.13</v>
      </c>
      <c r="O31" s="32">
        <v>4737831.22</v>
      </c>
      <c r="P31" s="35">
        <v>7.4999999999999997E-3</v>
      </c>
      <c r="Q31" s="32">
        <f>616176.07+18729201/386.44+19508050/402.51</f>
        <v>713108.07074119058</v>
      </c>
      <c r="R31" s="32">
        <f>353441.51+5923430/386.44+6198654/402.51</f>
        <v>384169.71101438778</v>
      </c>
      <c r="S31" s="32">
        <f t="shared" si="1"/>
        <v>4024723.1492588092</v>
      </c>
      <c r="T31" s="140" t="s">
        <v>76</v>
      </c>
      <c r="U31" s="8"/>
    </row>
    <row r="32" spans="1:21" s="5" customFormat="1" ht="41.25" customHeight="1" outlineLevel="1" x14ac:dyDescent="0.25">
      <c r="A32" s="547"/>
      <c r="B32" s="554"/>
      <c r="C32" s="548"/>
      <c r="D32" s="553"/>
      <c r="E32" s="555"/>
      <c r="F32" s="550"/>
      <c r="G32" s="550"/>
      <c r="H32" s="551"/>
      <c r="I32" s="550"/>
      <c r="J32" s="550"/>
      <c r="K32" s="552"/>
      <c r="L32" s="553"/>
      <c r="M32" s="107" t="s">
        <v>2</v>
      </c>
      <c r="N32" s="32">
        <v>1740568345.9000001</v>
      </c>
      <c r="O32" s="32">
        <v>1740568345.9000001</v>
      </c>
      <c r="P32" s="35">
        <v>7.4999999999999997E-3</v>
      </c>
      <c r="Q32" s="32">
        <f>247100359+17402579+17402579</f>
        <v>281905517</v>
      </c>
      <c r="R32" s="32">
        <f>128165336.87+5554115.8+5580740.4</f>
        <v>139300193.06999999</v>
      </c>
      <c r="S32" s="32">
        <f t="shared" si="1"/>
        <v>1458662828.9000001</v>
      </c>
      <c r="T32" s="140" t="s">
        <v>76</v>
      </c>
      <c r="U32" s="8"/>
    </row>
    <row r="33" spans="1:22" ht="87" customHeight="1" outlineLevel="1" x14ac:dyDescent="0.25">
      <c r="A33" s="104">
        <v>18</v>
      </c>
      <c r="B33" s="131" t="s">
        <v>77</v>
      </c>
      <c r="C33" s="132" t="s">
        <v>78</v>
      </c>
      <c r="D33" s="107" t="s">
        <v>27</v>
      </c>
      <c r="E33" s="117" t="s">
        <v>434</v>
      </c>
      <c r="F33" s="116">
        <f>12782297+5112919</f>
        <v>17895216</v>
      </c>
      <c r="G33" s="116">
        <f>12782297+5112919</f>
        <v>17895216</v>
      </c>
      <c r="H33" s="117"/>
      <c r="I33" s="34">
        <f>2687350+357904</f>
        <v>3045254</v>
      </c>
      <c r="J33" s="116">
        <f>G33-I33</f>
        <v>14849962</v>
      </c>
      <c r="K33" s="109" t="s">
        <v>314</v>
      </c>
      <c r="L33" s="109" t="s">
        <v>79</v>
      </c>
      <c r="M33" s="135" t="s">
        <v>29</v>
      </c>
      <c r="N33" s="39">
        <v>17895215.550000001</v>
      </c>
      <c r="O33" s="32">
        <v>17895215.550000001</v>
      </c>
      <c r="P33" s="35">
        <v>7.4999999999999997E-3</v>
      </c>
      <c r="Q33" s="32">
        <f>7748628.1+130294835.3/415.04+137735052.2/438.74</f>
        <v>8376494.5000054715</v>
      </c>
      <c r="R33" s="32">
        <f>2568161.28+12471869/415.04+3320320/414.34+16171473.8/438.74</f>
        <v>2643083.495521571</v>
      </c>
      <c r="S33" s="32">
        <f t="shared" si="1"/>
        <v>9518721.0499945283</v>
      </c>
      <c r="T33" s="140" t="s">
        <v>52</v>
      </c>
      <c r="U33" s="8"/>
      <c r="V33" s="5"/>
    </row>
    <row r="34" spans="1:22" ht="40.5" customHeight="1" outlineLevel="1" x14ac:dyDescent="0.25">
      <c r="A34" s="547">
        <v>19</v>
      </c>
      <c r="B34" s="534" t="s">
        <v>80</v>
      </c>
      <c r="C34" s="548" t="s">
        <v>81</v>
      </c>
      <c r="D34" s="548" t="s">
        <v>277</v>
      </c>
      <c r="E34" s="549" t="s">
        <v>29</v>
      </c>
      <c r="F34" s="40">
        <v>14500000</v>
      </c>
      <c r="G34" s="40"/>
      <c r="H34" s="132"/>
      <c r="I34" s="41"/>
      <c r="J34" s="40">
        <f>G34-I34</f>
        <v>0</v>
      </c>
      <c r="K34" s="548" t="s">
        <v>315</v>
      </c>
      <c r="L34" s="132" t="s">
        <v>82</v>
      </c>
      <c r="M34" s="135" t="s">
        <v>29</v>
      </c>
      <c r="N34" s="42">
        <v>22000000</v>
      </c>
      <c r="O34" s="32">
        <v>21247150.510000002</v>
      </c>
      <c r="P34" s="133" t="s">
        <v>83</v>
      </c>
      <c r="Q34" s="32">
        <f>1047000+1047000+1047000+1047000+1047000+1047000+1047000</f>
        <v>7329000</v>
      </c>
      <c r="R34" s="32">
        <v>2375876.2999999998</v>
      </c>
      <c r="S34" s="138">
        <f>O34-Q34</f>
        <v>13918150.510000002</v>
      </c>
      <c r="T34" s="521" t="s">
        <v>439</v>
      </c>
      <c r="U34" s="8"/>
      <c r="V34" s="5"/>
    </row>
    <row r="35" spans="1:22" ht="31.5" customHeight="1" outlineLevel="1" x14ac:dyDescent="0.25">
      <c r="A35" s="547"/>
      <c r="B35" s="526"/>
      <c r="C35" s="548"/>
      <c r="D35" s="548"/>
      <c r="E35" s="549"/>
      <c r="F35" s="40">
        <v>14500000</v>
      </c>
      <c r="G35" s="40">
        <v>697853.84</v>
      </c>
      <c r="H35" s="132"/>
      <c r="I35" s="41"/>
      <c r="J35" s="40">
        <f>G35-I35</f>
        <v>697853.84</v>
      </c>
      <c r="K35" s="548"/>
      <c r="L35" s="132" t="s">
        <v>85</v>
      </c>
      <c r="M35" s="135" t="s">
        <v>29</v>
      </c>
      <c r="N35" s="42">
        <v>14500000</v>
      </c>
      <c r="O35" s="32">
        <v>14491281.059999999</v>
      </c>
      <c r="P35" s="133" t="s">
        <v>30</v>
      </c>
      <c r="Q35" s="32">
        <f>241000+241000+241000+241000+241000+241000+241000</f>
        <v>1687000</v>
      </c>
      <c r="R35" s="32">
        <v>628643.69999999995</v>
      </c>
      <c r="S35" s="138">
        <f>O35-Q35</f>
        <v>12804281.059999999</v>
      </c>
      <c r="T35" s="522"/>
      <c r="U35" s="8"/>
      <c r="V35" s="5"/>
    </row>
    <row r="36" spans="1:22" ht="42.75" customHeight="1" outlineLevel="1" x14ac:dyDescent="0.25">
      <c r="A36" s="547"/>
      <c r="B36" s="527"/>
      <c r="C36" s="548"/>
      <c r="D36" s="548"/>
      <c r="E36" s="549"/>
      <c r="F36" s="40">
        <v>22000000</v>
      </c>
      <c r="G36" s="40"/>
      <c r="H36" s="132"/>
      <c r="I36" s="41"/>
      <c r="J36" s="40">
        <f>G36-I36</f>
        <v>0</v>
      </c>
      <c r="K36" s="548"/>
      <c r="L36" s="132" t="s">
        <v>86</v>
      </c>
      <c r="M36" s="135" t="s">
        <v>29</v>
      </c>
      <c r="N36" s="42">
        <v>14500000</v>
      </c>
      <c r="O36" s="32">
        <v>14500000.000000002</v>
      </c>
      <c r="P36" s="133" t="s">
        <v>87</v>
      </c>
      <c r="Q36" s="32">
        <f>2519999.6+630000+630000+630000</f>
        <v>4409999.5999999996</v>
      </c>
      <c r="R36" s="32">
        <v>2336020</v>
      </c>
      <c r="S36" s="138">
        <f>O36-Q36</f>
        <v>10090000.400000002</v>
      </c>
      <c r="T36" s="528"/>
      <c r="U36" s="8"/>
      <c r="V36" s="5"/>
    </row>
    <row r="37" spans="1:22" ht="94.5" customHeight="1" outlineLevel="1" x14ac:dyDescent="0.25">
      <c r="A37" s="104">
        <v>20</v>
      </c>
      <c r="B37" s="132" t="s">
        <v>88</v>
      </c>
      <c r="C37" s="131" t="s">
        <v>89</v>
      </c>
      <c r="D37" s="107" t="s">
        <v>69</v>
      </c>
      <c r="E37" s="117" t="s">
        <v>71</v>
      </c>
      <c r="F37" s="118">
        <v>26409000000</v>
      </c>
      <c r="G37" s="116">
        <v>26399286331</v>
      </c>
      <c r="H37" s="133">
        <v>7.4999999999999997E-3</v>
      </c>
      <c r="I37" s="116">
        <v>432846331</v>
      </c>
      <c r="J37" s="40">
        <f>G37-I37</f>
        <v>25966440000</v>
      </c>
      <c r="K37" s="109" t="s">
        <v>316</v>
      </c>
      <c r="L37" s="107" t="s">
        <v>90</v>
      </c>
      <c r="M37" s="107" t="s">
        <v>71</v>
      </c>
      <c r="N37" s="118">
        <v>26409000000</v>
      </c>
      <c r="O37" s="32">
        <v>26399286331</v>
      </c>
      <c r="P37" s="35">
        <v>7.4999999999999997E-3</v>
      </c>
      <c r="Q37" s="32">
        <f>7357230331.16835+1131704010/2.615</f>
        <v>7790004331.1683502</v>
      </c>
      <c r="R37" s="32">
        <f>2607354309.06995+188428717.2/2.615</f>
        <v>2679411179.8921299</v>
      </c>
      <c r="S37" s="116">
        <f t="shared" ref="S37:S46" si="2">O37-Q37</f>
        <v>18609281999.83165</v>
      </c>
      <c r="T37" s="140" t="s">
        <v>91</v>
      </c>
      <c r="U37" s="8"/>
      <c r="V37" s="5"/>
    </row>
    <row r="38" spans="1:22" ht="51.75" customHeight="1" outlineLevel="1" x14ac:dyDescent="0.25">
      <c r="A38" s="104">
        <v>21</v>
      </c>
      <c r="B38" s="131" t="s">
        <v>25</v>
      </c>
      <c r="C38" s="132" t="s">
        <v>92</v>
      </c>
      <c r="D38" s="132" t="s">
        <v>93</v>
      </c>
      <c r="E38" s="117"/>
      <c r="F38" s="117"/>
      <c r="G38" s="117"/>
      <c r="H38" s="117"/>
      <c r="I38" s="117"/>
      <c r="J38" s="117"/>
      <c r="K38" s="109" t="s">
        <v>317</v>
      </c>
      <c r="L38" s="107" t="s">
        <v>94</v>
      </c>
      <c r="M38" s="135" t="s">
        <v>51</v>
      </c>
      <c r="N38" s="32">
        <v>8988290</v>
      </c>
      <c r="O38" s="32">
        <v>8988290</v>
      </c>
      <c r="P38" s="38">
        <v>5.0000000000000001E-3</v>
      </c>
      <c r="Q38" s="32">
        <f>4199999.97+600000+600000+289644000/482.74+290820000/484.7+286458000/477.43+600000+600000+231939215.4/394.26</f>
        <v>8988289.9699999988</v>
      </c>
      <c r="R38" s="32">
        <f>838542.942447016+522591.6/394.26</f>
        <v>839868.44237092405</v>
      </c>
      <c r="S38" s="116">
        <f t="shared" si="2"/>
        <v>3.0000001192092896E-2</v>
      </c>
      <c r="T38" s="140" t="s">
        <v>76</v>
      </c>
      <c r="U38" s="8"/>
      <c r="V38" s="5"/>
    </row>
    <row r="39" spans="1:22" ht="63.75" customHeight="1" outlineLevel="1" x14ac:dyDescent="0.25">
      <c r="A39" s="104">
        <v>22</v>
      </c>
      <c r="B39" s="131" t="s">
        <v>95</v>
      </c>
      <c r="C39" s="132" t="s">
        <v>92</v>
      </c>
      <c r="D39" s="132" t="s">
        <v>96</v>
      </c>
      <c r="E39" s="117"/>
      <c r="F39" s="117"/>
      <c r="G39" s="117"/>
      <c r="H39" s="117"/>
      <c r="I39" s="117"/>
      <c r="J39" s="117"/>
      <c r="K39" s="43" t="s">
        <v>318</v>
      </c>
      <c r="L39" s="32" t="s">
        <v>97</v>
      </c>
      <c r="M39" s="40" t="s">
        <v>2</v>
      </c>
      <c r="N39" s="32">
        <v>1757100000</v>
      </c>
      <c r="O39" s="32">
        <v>1757100000</v>
      </c>
      <c r="P39" s="35">
        <v>7.4999999999999997E-3</v>
      </c>
      <c r="Q39" s="32">
        <f>439275000+62753571.5+62753571.5+62753571.3+62753571.4+62753571.4+62753571.4+62753571.5+62753571.5+62753571.5</f>
        <v>1004057142.9999999</v>
      </c>
      <c r="R39" s="32">
        <f>303383430.5+3313904.4+3032802.7</f>
        <v>309730137.59999996</v>
      </c>
      <c r="S39" s="116">
        <f t="shared" si="2"/>
        <v>753042857.00000012</v>
      </c>
      <c r="T39" s="140" t="s">
        <v>76</v>
      </c>
      <c r="U39" s="8"/>
      <c r="V39" s="5"/>
    </row>
    <row r="40" spans="1:22" ht="63.75" customHeight="1" outlineLevel="1" x14ac:dyDescent="0.25">
      <c r="A40" s="110">
        <v>23</v>
      </c>
      <c r="B40" s="131" t="s">
        <v>95</v>
      </c>
      <c r="C40" s="111" t="s">
        <v>98</v>
      </c>
      <c r="D40" s="132"/>
      <c r="E40" s="117"/>
      <c r="F40" s="117"/>
      <c r="G40" s="117"/>
      <c r="H40" s="117"/>
      <c r="I40" s="117"/>
      <c r="J40" s="117"/>
      <c r="K40" s="43" t="s">
        <v>319</v>
      </c>
      <c r="L40" s="32" t="s">
        <v>99</v>
      </c>
      <c r="M40" s="40" t="s">
        <v>2</v>
      </c>
      <c r="N40" s="32">
        <v>18700000000</v>
      </c>
      <c r="O40" s="32">
        <v>18700000000</v>
      </c>
      <c r="P40" s="114">
        <v>7.4999999999999997E-2</v>
      </c>
      <c r="Q40" s="32">
        <f>890476190.5+890476190.5+890476190.5+890476190.5</f>
        <v>3561904762</v>
      </c>
      <c r="R40" s="32">
        <f>1333335616.4+703171232.9+699328767.1+670052837.5+632909002+602718199.6</f>
        <v>4641515655.5</v>
      </c>
      <c r="S40" s="116">
        <f t="shared" si="2"/>
        <v>15138095238</v>
      </c>
      <c r="T40" s="140" t="s">
        <v>76</v>
      </c>
      <c r="U40" s="8"/>
      <c r="V40" s="5"/>
    </row>
    <row r="41" spans="1:22" ht="63.75" customHeight="1" outlineLevel="1" x14ac:dyDescent="0.25">
      <c r="A41" s="110">
        <v>24</v>
      </c>
      <c r="B41" s="131" t="s">
        <v>95</v>
      </c>
      <c r="C41" s="111" t="s">
        <v>278</v>
      </c>
      <c r="D41" s="132"/>
      <c r="E41" s="117"/>
      <c r="F41" s="117"/>
      <c r="G41" s="117"/>
      <c r="H41" s="117"/>
      <c r="I41" s="117"/>
      <c r="J41" s="117"/>
      <c r="K41" s="44"/>
      <c r="L41" s="32" t="s">
        <v>265</v>
      </c>
      <c r="M41" s="40" t="s">
        <v>2</v>
      </c>
      <c r="N41" s="32">
        <v>25000000000</v>
      </c>
      <c r="O41" s="32">
        <v>25000000000</v>
      </c>
      <c r="P41" s="114">
        <v>0.09</v>
      </c>
      <c r="Q41" s="32">
        <f>1190476190.4+1190476190.5</f>
        <v>2380952380.9000001</v>
      </c>
      <c r="R41" s="32">
        <f>1171232876.7+1121917808.3+1128082191.8+1121917808.2+1074363992.2</f>
        <v>5617514677.1999998</v>
      </c>
      <c r="S41" s="116">
        <f t="shared" si="2"/>
        <v>22619047619.099998</v>
      </c>
      <c r="T41" s="140" t="s">
        <v>76</v>
      </c>
      <c r="U41" s="8"/>
      <c r="V41" s="5"/>
    </row>
    <row r="42" spans="1:22" ht="63.75" customHeight="1" outlineLevel="1" x14ac:dyDescent="0.25">
      <c r="A42" s="110">
        <v>25</v>
      </c>
      <c r="B42" s="131" t="s">
        <v>95</v>
      </c>
      <c r="C42" s="111" t="s">
        <v>268</v>
      </c>
      <c r="D42" s="132"/>
      <c r="E42" s="117"/>
      <c r="F42" s="117"/>
      <c r="G42" s="117"/>
      <c r="H42" s="117"/>
      <c r="I42" s="117"/>
      <c r="J42" s="117"/>
      <c r="K42" s="43" t="s">
        <v>320</v>
      </c>
      <c r="L42" s="32" t="s">
        <v>269</v>
      </c>
      <c r="M42" s="40" t="s">
        <v>2</v>
      </c>
      <c r="N42" s="32">
        <v>2242223800</v>
      </c>
      <c r="O42" s="32">
        <v>2242223800</v>
      </c>
      <c r="P42" s="45">
        <v>9.1240000000000002E-2</v>
      </c>
      <c r="Q42" s="32">
        <v>2242223800</v>
      </c>
      <c r="R42" s="32">
        <v>297062095</v>
      </c>
      <c r="S42" s="116">
        <f t="shared" si="2"/>
        <v>0</v>
      </c>
      <c r="T42" s="140" t="s">
        <v>76</v>
      </c>
      <c r="U42" s="8"/>
      <c r="V42" s="5"/>
    </row>
    <row r="43" spans="1:22" ht="57.75" customHeight="1" outlineLevel="1" x14ac:dyDescent="0.25">
      <c r="A43" s="532">
        <v>26</v>
      </c>
      <c r="B43" s="534" t="s">
        <v>95</v>
      </c>
      <c r="C43" s="521" t="s">
        <v>100</v>
      </c>
      <c r="D43" s="107" t="s">
        <v>101</v>
      </c>
      <c r="E43" s="135" t="s">
        <v>51</v>
      </c>
      <c r="F43" s="116">
        <v>270000000</v>
      </c>
      <c r="G43" s="46">
        <v>7766059.0499999998</v>
      </c>
      <c r="H43" s="117"/>
      <c r="I43" s="117"/>
      <c r="J43" s="117"/>
      <c r="K43" s="541" t="s">
        <v>321</v>
      </c>
      <c r="L43" s="543" t="s">
        <v>102</v>
      </c>
      <c r="M43" s="135" t="s">
        <v>51</v>
      </c>
      <c r="N43" s="36">
        <v>270000000</v>
      </c>
      <c r="O43" s="32">
        <v>173574580.28</v>
      </c>
      <c r="P43" s="545">
        <v>0.03</v>
      </c>
      <c r="Q43" s="32">
        <f>51199088.7002228+3370009369.8/394.93+3295429324.9/386.19+3461143748.2/405.61</f>
        <v>76798633.100286514</v>
      </c>
      <c r="R43" s="32">
        <f>20309911.275649+723428666.7/394.93+646453366.1/386.19+636850451.3/405.61</f>
        <v>25385731.975636914</v>
      </c>
      <c r="S43" s="116">
        <f t="shared" si="2"/>
        <v>96775947.179713488</v>
      </c>
      <c r="T43" s="510" t="s">
        <v>84</v>
      </c>
      <c r="U43" s="8"/>
      <c r="V43" s="5"/>
    </row>
    <row r="44" spans="1:22" ht="57.75" customHeight="1" outlineLevel="1" x14ac:dyDescent="0.25">
      <c r="A44" s="533"/>
      <c r="B44" s="527"/>
      <c r="C44" s="528"/>
      <c r="D44" s="113"/>
      <c r="E44" s="47"/>
      <c r="F44" s="124"/>
      <c r="G44" s="48"/>
      <c r="H44" s="127"/>
      <c r="I44" s="127"/>
      <c r="J44" s="127"/>
      <c r="K44" s="542"/>
      <c r="L44" s="544"/>
      <c r="M44" s="40" t="s">
        <v>2</v>
      </c>
      <c r="N44" s="37">
        <v>1265847400</v>
      </c>
      <c r="O44" s="32">
        <f>9509488626+108542329</f>
        <v>9618030955</v>
      </c>
      <c r="P44" s="546"/>
      <c r="Q44" s="32">
        <f>2858334735.47632+482835444.3+482835444.2+482835444.3</f>
        <v>4306841068.2763195</v>
      </c>
      <c r="R44" s="32">
        <f>1045375895.11175+103648675.3+94716219.7+88841721.7</f>
        <v>1332582511.8117502</v>
      </c>
      <c r="S44" s="116">
        <f t="shared" si="2"/>
        <v>5311189886.7236805</v>
      </c>
      <c r="T44" s="524"/>
      <c r="U44" s="8"/>
      <c r="V44" s="5"/>
    </row>
    <row r="45" spans="1:22" ht="57.75" customHeight="1" outlineLevel="1" x14ac:dyDescent="0.25">
      <c r="A45" s="104">
        <v>27</v>
      </c>
      <c r="B45" s="131" t="s">
        <v>95</v>
      </c>
      <c r="C45" s="132" t="s">
        <v>103</v>
      </c>
      <c r="D45" s="107"/>
      <c r="E45" s="135"/>
      <c r="F45" s="116"/>
      <c r="G45" s="46"/>
      <c r="H45" s="117"/>
      <c r="I45" s="117"/>
      <c r="J45" s="117"/>
      <c r="K45" s="108" t="s">
        <v>322</v>
      </c>
      <c r="L45" s="138" t="s">
        <v>104</v>
      </c>
      <c r="M45" s="31" t="s">
        <v>51</v>
      </c>
      <c r="N45" s="36">
        <v>8907500</v>
      </c>
      <c r="O45" s="32">
        <v>8907384.7100000009</v>
      </c>
      <c r="P45" s="539" t="s">
        <v>368</v>
      </c>
      <c r="Q45" s="32"/>
      <c r="R45" s="32">
        <f>1241236.45+96159781.6/386.38+118034920.8/403.19</f>
        <v>1782862.6500977012</v>
      </c>
      <c r="S45" s="125">
        <f t="shared" si="2"/>
        <v>8907384.7100000009</v>
      </c>
      <c r="T45" s="141" t="s">
        <v>105</v>
      </c>
      <c r="U45" s="8"/>
      <c r="V45" s="5"/>
    </row>
    <row r="46" spans="1:22" ht="78.75" customHeight="1" outlineLevel="1" thickBot="1" x14ac:dyDescent="0.3">
      <c r="A46" s="132">
        <v>28</v>
      </c>
      <c r="B46" s="105" t="s">
        <v>88</v>
      </c>
      <c r="C46" s="121" t="s">
        <v>103</v>
      </c>
      <c r="D46" s="122"/>
      <c r="E46" s="49"/>
      <c r="F46" s="125"/>
      <c r="G46" s="50"/>
      <c r="H46" s="128"/>
      <c r="I46" s="128"/>
      <c r="J46" s="128"/>
      <c r="K46" s="108" t="s">
        <v>323</v>
      </c>
      <c r="L46" s="51" t="s">
        <v>104</v>
      </c>
      <c r="M46" s="49" t="s">
        <v>51</v>
      </c>
      <c r="N46" s="52">
        <v>21092500</v>
      </c>
      <c r="O46" s="32">
        <v>21092210.790000003</v>
      </c>
      <c r="P46" s="540"/>
      <c r="Q46" s="32"/>
      <c r="R46" s="32">
        <f>3081286.01+227668040/386.38+279535083/403.19</f>
        <v>4363828.0823399555</v>
      </c>
      <c r="S46" s="124">
        <f t="shared" si="2"/>
        <v>21092210.790000003</v>
      </c>
      <c r="T46" s="141" t="s">
        <v>106</v>
      </c>
      <c r="U46" s="8"/>
    </row>
    <row r="47" spans="1:22" s="9" customFormat="1" ht="15" customHeight="1" x14ac:dyDescent="0.25">
      <c r="A47" s="496" t="s">
        <v>115</v>
      </c>
      <c r="B47" s="497"/>
      <c r="C47" s="497"/>
      <c r="D47" s="519" t="s">
        <v>29</v>
      </c>
      <c r="E47" s="519"/>
      <c r="F47" s="519"/>
      <c r="G47" s="519"/>
      <c r="H47" s="519"/>
      <c r="I47" s="519"/>
      <c r="J47" s="519"/>
      <c r="K47" s="519"/>
      <c r="L47" s="519"/>
      <c r="M47" s="53"/>
      <c r="N47" s="10">
        <f>SUMIF($M$5:$M$46,D47,$N$5:$N$46)</f>
        <v>275755742.28000003</v>
      </c>
      <c r="O47" s="10">
        <f>SUMIF($M$5:$M$46,D47,$O$5:$O$46)</f>
        <v>97929055.540000007</v>
      </c>
      <c r="P47" s="10"/>
      <c r="Q47" s="10">
        <f>SUMIF($M$5:$M$46,D47,$Q$5:$Q$46)</f>
        <v>37018590.7398488</v>
      </c>
      <c r="R47" s="10">
        <f>SUMIF($M$5:$M$46,D47,$R$5:$R$46)</f>
        <v>16520985.737643212</v>
      </c>
      <c r="S47" s="10">
        <f>SUMIF($M$5:$M$46,D47,$S$5:$S$46)</f>
        <v>60910464.800151199</v>
      </c>
      <c r="T47" s="147"/>
      <c r="U47" s="8"/>
    </row>
    <row r="48" spans="1:22" s="9" customFormat="1" ht="15" customHeight="1" x14ac:dyDescent="0.25">
      <c r="A48" s="485"/>
      <c r="B48" s="486"/>
      <c r="C48" s="486"/>
      <c r="D48" s="503" t="s">
        <v>2</v>
      </c>
      <c r="E48" s="503"/>
      <c r="F48" s="503"/>
      <c r="G48" s="503"/>
      <c r="H48" s="503"/>
      <c r="I48" s="503"/>
      <c r="J48" s="503"/>
      <c r="K48" s="503"/>
      <c r="L48" s="503"/>
      <c r="M48" s="54"/>
      <c r="N48" s="11">
        <f>SUMIF($M$5:$M$46,D48,$N$5:$N$46)</f>
        <v>50705739545.900002</v>
      </c>
      <c r="O48" s="11">
        <f>SUMIF($M$5:$M$46,D48,$O$5:$O$46)</f>
        <v>69656751380</v>
      </c>
      <c r="P48" s="11"/>
      <c r="Q48" s="11">
        <f>SUMIF($M$5:$M$46,D48,$Q$5:$Q$46)</f>
        <v>14934237882.47632</v>
      </c>
      <c r="R48" s="11">
        <f>SUMIF($M$5:$M$46,D48,$R$5:$R$46)</f>
        <v>14345630066.421751</v>
      </c>
      <c r="S48" s="11">
        <f>SUMIF($M$5:$M$46,D48,$S$5:$S$46)</f>
        <v>54722513497.523682</v>
      </c>
      <c r="T48" s="148"/>
      <c r="U48" s="8"/>
    </row>
    <row r="49" spans="1:21" s="9" customFormat="1" ht="15" customHeight="1" x14ac:dyDescent="0.25">
      <c r="A49" s="485"/>
      <c r="B49" s="486"/>
      <c r="C49" s="486"/>
      <c r="D49" s="503" t="s">
        <v>51</v>
      </c>
      <c r="E49" s="503"/>
      <c r="F49" s="503"/>
      <c r="G49" s="503"/>
      <c r="H49" s="503"/>
      <c r="I49" s="503"/>
      <c r="J49" s="503"/>
      <c r="K49" s="503"/>
      <c r="L49" s="503"/>
      <c r="M49" s="54"/>
      <c r="N49" s="11">
        <f>SUMIF($M$5:$M$46,D49,$N$5:$N$46)</f>
        <v>443654882.94000006</v>
      </c>
      <c r="O49" s="11">
        <f>SUMIF($M$5:$M$46,D49,$O$5:$O$46)</f>
        <v>327049444.97000003</v>
      </c>
      <c r="P49" s="11"/>
      <c r="Q49" s="11">
        <f>SUMIF($M$5:$M$46,D49,$Q$5:$Q$46)</f>
        <v>104132340.85582891</v>
      </c>
      <c r="R49" s="11">
        <f>SUMIF($M$5:$M$46,D49,$R$5:$R$46)</f>
        <v>52568288.56343662</v>
      </c>
      <c r="S49" s="11">
        <f>SUMIF($M$5:$M$46,D49,$S$5:$S$46)</f>
        <v>222917104.11417109</v>
      </c>
      <c r="T49" s="148"/>
      <c r="U49" s="8"/>
    </row>
    <row r="50" spans="1:21" s="9" customFormat="1" ht="15" customHeight="1" x14ac:dyDescent="0.25">
      <c r="A50" s="485"/>
      <c r="B50" s="486"/>
      <c r="C50" s="486"/>
      <c r="D50" s="505" t="s">
        <v>71</v>
      </c>
      <c r="E50" s="505"/>
      <c r="F50" s="505"/>
      <c r="G50" s="505"/>
      <c r="H50" s="505"/>
      <c r="I50" s="505"/>
      <c r="J50" s="505"/>
      <c r="K50" s="505"/>
      <c r="L50" s="505"/>
      <c r="M50" s="55"/>
      <c r="N50" s="56">
        <f>SUMIF($M$5:$M$46,D50,$N$5:$N$46)</f>
        <v>31777311969</v>
      </c>
      <c r="O50" s="56">
        <f>SUMIF($M$5:$M$46,D50,$O$5:$O$46)</f>
        <v>31859249643</v>
      </c>
      <c r="P50" s="56"/>
      <c r="Q50" s="56">
        <f>SUMIF($M$5:$M$46,D50,$Q$5:$Q$46)</f>
        <v>11608502507.734192</v>
      </c>
      <c r="R50" s="56">
        <f>SUMIF($M$5:$M$46,D50,$R$5:$R$46)</f>
        <v>3488879860.0944376</v>
      </c>
      <c r="S50" s="56">
        <f>SUMIF($M$5:$M$46,D50,$S$5:$S$46)</f>
        <v>20250747135.265808</v>
      </c>
      <c r="T50" s="149"/>
      <c r="U50" s="8"/>
    </row>
    <row r="51" spans="1:21" s="9" customFormat="1" ht="15" customHeight="1" thickBot="1" x14ac:dyDescent="0.3">
      <c r="A51" s="485"/>
      <c r="B51" s="486"/>
      <c r="C51" s="486"/>
      <c r="D51" s="493" t="s">
        <v>61</v>
      </c>
      <c r="E51" s="494"/>
      <c r="F51" s="494"/>
      <c r="G51" s="494"/>
      <c r="H51" s="494"/>
      <c r="I51" s="494"/>
      <c r="J51" s="494"/>
      <c r="K51" s="494"/>
      <c r="L51" s="495"/>
      <c r="M51" s="57"/>
      <c r="N51" s="12">
        <f>SUMIF($M$5:$M$46,D51,$N$5:$N$46)</f>
        <v>24086688</v>
      </c>
      <c r="O51" s="12">
        <f>SUMIF($M$5:$M$46,D51,$O$5:$O$46)</f>
        <v>18384172.012149811</v>
      </c>
      <c r="P51" s="12"/>
      <c r="Q51" s="12">
        <f>SUMIF($M$5:$M$46,D51,$Q$5:$Q$46)</f>
        <v>3889303.4021576373</v>
      </c>
      <c r="R51" s="12">
        <f>SUMIF($M$5:$M$46,D51,$R$5:$R$46)</f>
        <v>2687639.4595199237</v>
      </c>
      <c r="S51" s="12">
        <f>SUMIF($M$5:$M$46,D51,$S$5:$S$46)</f>
        <v>14494868.609992173</v>
      </c>
      <c r="T51" s="150"/>
      <c r="U51" s="8"/>
    </row>
    <row r="52" spans="1:21" ht="78" customHeight="1" outlineLevel="1" x14ac:dyDescent="0.25">
      <c r="A52" s="103">
        <v>29</v>
      </c>
      <c r="B52" s="120" t="s">
        <v>116</v>
      </c>
      <c r="C52" s="105" t="s">
        <v>117</v>
      </c>
      <c r="D52" s="106" t="s">
        <v>118</v>
      </c>
      <c r="E52" s="31" t="s">
        <v>29</v>
      </c>
      <c r="F52" s="126">
        <v>5000000</v>
      </c>
      <c r="G52" s="126">
        <v>5000000</v>
      </c>
      <c r="H52" s="115" t="s">
        <v>120</v>
      </c>
      <c r="I52" s="29">
        <v>1041667</v>
      </c>
      <c r="J52" s="126">
        <f>G52-I52</f>
        <v>3958333</v>
      </c>
      <c r="K52" s="108" t="s">
        <v>324</v>
      </c>
      <c r="L52" s="108" t="s">
        <v>119</v>
      </c>
      <c r="M52" s="31" t="s">
        <v>29</v>
      </c>
      <c r="N52" s="138">
        <v>5000000</v>
      </c>
      <c r="O52" s="138">
        <v>5000000</v>
      </c>
      <c r="P52" s="115" t="s">
        <v>120</v>
      </c>
      <c r="Q52" s="138">
        <f>4166666.69+208333.33+88124985.9/423</f>
        <v>4583333.3199999994</v>
      </c>
      <c r="R52" s="138">
        <f>553011.29+6019459.2/423</f>
        <v>567241.69000000006</v>
      </c>
      <c r="S52" s="138">
        <f t="shared" ref="S52:S57" si="3">O52-Q52</f>
        <v>416666.68000000063</v>
      </c>
      <c r="T52" s="145" t="s">
        <v>76</v>
      </c>
    </row>
    <row r="53" spans="1:21" ht="71.25" customHeight="1" outlineLevel="1" x14ac:dyDescent="0.25">
      <c r="A53" s="110">
        <v>30</v>
      </c>
      <c r="B53" s="534" t="s">
        <v>121</v>
      </c>
      <c r="C53" s="111" t="s">
        <v>122</v>
      </c>
      <c r="D53" s="113" t="s">
        <v>118</v>
      </c>
      <c r="E53" s="135" t="s">
        <v>29</v>
      </c>
      <c r="F53" s="116">
        <v>5000000</v>
      </c>
      <c r="G53" s="116">
        <f>3302053.81+58000+43500</f>
        <v>3403553.81</v>
      </c>
      <c r="H53" s="35" t="s">
        <v>120</v>
      </c>
      <c r="I53" s="116">
        <v>0</v>
      </c>
      <c r="J53" s="116">
        <f>G53-I53</f>
        <v>3403553.81</v>
      </c>
      <c r="K53" s="112" t="s">
        <v>325</v>
      </c>
      <c r="L53" s="112" t="s">
        <v>123</v>
      </c>
      <c r="M53" s="135" t="s">
        <v>29</v>
      </c>
      <c r="N53" s="32">
        <v>5000000</v>
      </c>
      <c r="O53" s="32">
        <v>5000000</v>
      </c>
      <c r="P53" s="114" t="s">
        <v>120</v>
      </c>
      <c r="Q53" s="32">
        <f>3125000+208333.33+88124985.9/423</f>
        <v>3541666.63</v>
      </c>
      <c r="R53" s="32">
        <f>320254.8+16091046.9/423</f>
        <v>358295.1</v>
      </c>
      <c r="S53" s="32">
        <f t="shared" si="3"/>
        <v>1458333.37</v>
      </c>
      <c r="T53" s="521" t="s">
        <v>76</v>
      </c>
    </row>
    <row r="54" spans="1:21" ht="71.25" customHeight="1" outlineLevel="1" x14ac:dyDescent="0.25">
      <c r="A54" s="110">
        <v>31</v>
      </c>
      <c r="B54" s="527"/>
      <c r="C54" s="111"/>
      <c r="D54" s="113"/>
      <c r="E54" s="135"/>
      <c r="F54" s="116"/>
      <c r="G54" s="116"/>
      <c r="H54" s="35"/>
      <c r="I54" s="116"/>
      <c r="J54" s="116"/>
      <c r="K54" s="112"/>
      <c r="L54" s="112"/>
      <c r="M54" s="47" t="s">
        <v>2</v>
      </c>
      <c r="N54" s="32"/>
      <c r="O54" s="32">
        <v>66094595</v>
      </c>
      <c r="P54" s="114"/>
      <c r="Q54" s="32">
        <f>6609471.44+6609433.4+6609473.7</f>
        <v>19828378.539999999</v>
      </c>
      <c r="R54" s="32">
        <f>1088882.59773529+1190830.4</f>
        <v>2279712.9977352899</v>
      </c>
      <c r="S54" s="32">
        <f t="shared" si="3"/>
        <v>46266216.460000001</v>
      </c>
      <c r="T54" s="528"/>
    </row>
    <row r="55" spans="1:21" ht="55.5" customHeight="1" outlineLevel="1" x14ac:dyDescent="0.25">
      <c r="A55" s="104">
        <v>32</v>
      </c>
      <c r="B55" s="131" t="s">
        <v>124</v>
      </c>
      <c r="C55" s="132" t="s">
        <v>125</v>
      </c>
      <c r="D55" s="107" t="s">
        <v>126</v>
      </c>
      <c r="E55" s="135" t="s">
        <v>29</v>
      </c>
      <c r="F55" s="116">
        <v>5000000</v>
      </c>
      <c r="G55" s="116">
        <v>5000000</v>
      </c>
      <c r="H55" s="35" t="s">
        <v>435</v>
      </c>
      <c r="I55" s="34"/>
      <c r="J55" s="116">
        <f>G55-I55</f>
        <v>5000000</v>
      </c>
      <c r="K55" s="109" t="s">
        <v>326</v>
      </c>
      <c r="L55" s="109" t="s">
        <v>127</v>
      </c>
      <c r="M55" s="135" t="s">
        <v>29</v>
      </c>
      <c r="N55" s="32">
        <v>5000000</v>
      </c>
      <c r="O55" s="32">
        <v>5000000</v>
      </c>
      <c r="P55" s="35" t="s">
        <v>120</v>
      </c>
      <c r="Q55" s="32">
        <f>3227272.74+97124988.4/427.35+96136352.1/423</f>
        <v>3681818.1401287005</v>
      </c>
      <c r="R55" s="32">
        <v>475298.33641151118</v>
      </c>
      <c r="S55" s="32">
        <f t="shared" si="3"/>
        <v>1318181.8598712995</v>
      </c>
      <c r="T55" s="140" t="s">
        <v>76</v>
      </c>
    </row>
    <row r="56" spans="1:21" ht="57" customHeight="1" outlineLevel="1" x14ac:dyDescent="0.25">
      <c r="A56" s="532">
        <v>33</v>
      </c>
      <c r="B56" s="534" t="s">
        <v>128</v>
      </c>
      <c r="C56" s="521" t="s">
        <v>129</v>
      </c>
      <c r="D56" s="113" t="s">
        <v>126</v>
      </c>
      <c r="E56" s="47" t="s">
        <v>29</v>
      </c>
      <c r="F56" s="124">
        <v>5000000</v>
      </c>
      <c r="G56" s="124">
        <v>2000000</v>
      </c>
      <c r="H56" s="114" t="s">
        <v>436</v>
      </c>
      <c r="I56" s="124">
        <v>0</v>
      </c>
      <c r="J56" s="124">
        <f>G56-I56</f>
        <v>2000000</v>
      </c>
      <c r="K56" s="112" t="s">
        <v>327</v>
      </c>
      <c r="L56" s="112" t="s">
        <v>130</v>
      </c>
      <c r="M56" s="47" t="s">
        <v>29</v>
      </c>
      <c r="N56" s="137">
        <v>5000000</v>
      </c>
      <c r="O56" s="32">
        <v>3000000</v>
      </c>
      <c r="P56" s="45" t="s">
        <v>279</v>
      </c>
      <c r="Q56" s="32">
        <f>676724.137931034+46797420.6/423</f>
        <v>787356.33793103392</v>
      </c>
      <c r="R56" s="32">
        <f>222742.9+6254858.7/423</f>
        <v>237529.8</v>
      </c>
      <c r="S56" s="137">
        <f t="shared" si="3"/>
        <v>2212643.6620689658</v>
      </c>
      <c r="T56" s="510" t="s">
        <v>76</v>
      </c>
    </row>
    <row r="57" spans="1:21" ht="57" customHeight="1" outlineLevel="1" thickBot="1" x14ac:dyDescent="0.3">
      <c r="A57" s="536"/>
      <c r="B57" s="537"/>
      <c r="C57" s="538"/>
      <c r="D57" s="113" t="s">
        <v>126</v>
      </c>
      <c r="E57" s="47" t="s">
        <v>29</v>
      </c>
      <c r="F57" s="124">
        <v>5000000</v>
      </c>
      <c r="G57" s="124">
        <v>2000000</v>
      </c>
      <c r="H57" s="114" t="s">
        <v>436</v>
      </c>
      <c r="I57" s="124">
        <v>0</v>
      </c>
      <c r="J57" s="124">
        <f>G57-I57</f>
        <v>2000000</v>
      </c>
      <c r="K57" s="112" t="s">
        <v>327</v>
      </c>
      <c r="L57" s="112" t="s">
        <v>266</v>
      </c>
      <c r="M57" s="47" t="s">
        <v>2</v>
      </c>
      <c r="N57" s="137"/>
      <c r="O57" s="32">
        <v>69055257.109999999</v>
      </c>
      <c r="P57" s="45">
        <v>1.404E-2</v>
      </c>
      <c r="Q57" s="32">
        <f>9751561.92837819+3148517</f>
        <v>12900078.928378191</v>
      </c>
      <c r="R57" s="32">
        <f>1328413.8+491137.6</f>
        <v>1819551.4</v>
      </c>
      <c r="S57" s="137">
        <f t="shared" si="3"/>
        <v>56155178.181621805</v>
      </c>
      <c r="T57" s="516"/>
    </row>
    <row r="58" spans="1:21" s="9" customFormat="1" ht="15" customHeight="1" x14ac:dyDescent="0.25">
      <c r="A58" s="496" t="s">
        <v>131</v>
      </c>
      <c r="B58" s="497"/>
      <c r="C58" s="497"/>
      <c r="D58" s="519" t="s">
        <v>29</v>
      </c>
      <c r="E58" s="519"/>
      <c r="F58" s="519"/>
      <c r="G58" s="519"/>
      <c r="H58" s="519"/>
      <c r="I58" s="519"/>
      <c r="J58" s="519"/>
      <c r="K58" s="519"/>
      <c r="L58" s="519"/>
      <c r="M58" s="53"/>
      <c r="N58" s="10">
        <f>SUMIF($M$52:$M$57,D58,$N$52:$N$57)</f>
        <v>20000000</v>
      </c>
      <c r="O58" s="10">
        <f>SUMIF($M$52:$M$57,D58,$O$52:$O$57)</f>
        <v>18000000</v>
      </c>
      <c r="P58" s="13"/>
      <c r="Q58" s="10">
        <f>SUMIF($M$52:$M$57,D58,$Q$52:$Q$57)</f>
        <v>12594174.428059733</v>
      </c>
      <c r="R58" s="10">
        <f>SUMIF($M$52:$M$57,D58,$R$52:$R$57)</f>
        <v>1638364.9264115111</v>
      </c>
      <c r="S58" s="10">
        <f>SUMIF($M$52:$M$57,D58,$S$52:$S$57)</f>
        <v>5405825.5719402656</v>
      </c>
      <c r="T58" s="147"/>
      <c r="U58" s="8"/>
    </row>
    <row r="59" spans="1:21" s="9" customFormat="1" ht="15" customHeight="1" x14ac:dyDescent="0.25">
      <c r="A59" s="485"/>
      <c r="B59" s="486"/>
      <c r="C59" s="486"/>
      <c r="D59" s="503" t="s">
        <v>2</v>
      </c>
      <c r="E59" s="503"/>
      <c r="F59" s="503"/>
      <c r="G59" s="503"/>
      <c r="H59" s="503"/>
      <c r="I59" s="503"/>
      <c r="J59" s="503"/>
      <c r="K59" s="503"/>
      <c r="L59" s="503"/>
      <c r="M59" s="54"/>
      <c r="N59" s="11">
        <f>SUMIF($M$52:$M$57,D59,$N$52:$N$57)</f>
        <v>0</v>
      </c>
      <c r="O59" s="11">
        <f>SUMIF($M$52:$M$57,D59,$O$52:$O$57)</f>
        <v>135149852.11000001</v>
      </c>
      <c r="P59" s="11"/>
      <c r="Q59" s="11">
        <f>SUMIF($M$52:$M$57,D59,$Q$52:$Q$57)</f>
        <v>32728457.46837819</v>
      </c>
      <c r="R59" s="11">
        <f>SUMIF($M$52:$M$57,D59,$R$52:$R$57)</f>
        <v>4099264.3977352898</v>
      </c>
      <c r="S59" s="11">
        <f>SUMIF($M$52:$M$57,D59,$S$52:$S$57)</f>
        <v>102421394.6416218</v>
      </c>
      <c r="T59" s="148"/>
      <c r="U59" s="8"/>
    </row>
    <row r="60" spans="1:21" s="9" customFormat="1" ht="15" customHeight="1" x14ac:dyDescent="0.25">
      <c r="A60" s="485"/>
      <c r="B60" s="486"/>
      <c r="C60" s="486"/>
      <c r="D60" s="503" t="s">
        <v>51</v>
      </c>
      <c r="E60" s="503"/>
      <c r="F60" s="503"/>
      <c r="G60" s="503"/>
      <c r="H60" s="503"/>
      <c r="I60" s="503"/>
      <c r="J60" s="503"/>
      <c r="K60" s="503"/>
      <c r="L60" s="503"/>
      <c r="M60" s="54"/>
      <c r="N60" s="11">
        <f>SUMIF($M$52:$M$57,D60,$N$52:$N$57)</f>
        <v>0</v>
      </c>
      <c r="O60" s="11">
        <f>SUMIF($M$52:$M$57,D60,$O$52:$O$57)</f>
        <v>0</v>
      </c>
      <c r="P60" s="11"/>
      <c r="Q60" s="11">
        <f>SUMIF($M$52:$M$57,D60,$Q$52:$Q$57)</f>
        <v>0</v>
      </c>
      <c r="R60" s="11">
        <f>SUMIF($M$52:$M$57,D60,$R$52:$R$57)</f>
        <v>0</v>
      </c>
      <c r="S60" s="11">
        <f>SUMIF($M$52:$M$57,D60,$S$52:$S$57)</f>
        <v>0</v>
      </c>
      <c r="T60" s="148"/>
      <c r="U60" s="8"/>
    </row>
    <row r="61" spans="1:21" s="9" customFormat="1" ht="15" customHeight="1" thickBot="1" x14ac:dyDescent="0.3">
      <c r="A61" s="506"/>
      <c r="B61" s="507"/>
      <c r="C61" s="507"/>
      <c r="D61" s="520" t="s">
        <v>71</v>
      </c>
      <c r="E61" s="520"/>
      <c r="F61" s="520"/>
      <c r="G61" s="520"/>
      <c r="H61" s="520"/>
      <c r="I61" s="520"/>
      <c r="J61" s="520"/>
      <c r="K61" s="520"/>
      <c r="L61" s="520"/>
      <c r="M61" s="57"/>
      <c r="N61" s="12">
        <f>SUMIF($M$52:$M$57,D61,$N$52:$N$57)</f>
        <v>0</v>
      </c>
      <c r="O61" s="12">
        <f>SUMIF($M$52:$M$57,D61,$O$52:$O$57)</f>
        <v>0</v>
      </c>
      <c r="P61" s="12"/>
      <c r="Q61" s="12">
        <f>SUMIF($M$52:$M$57,D61,$Q$52:$Q$57)</f>
        <v>0</v>
      </c>
      <c r="R61" s="12">
        <f>SUMIF($M$52:$M$57,D61,$R$52:$R$57)</f>
        <v>0</v>
      </c>
      <c r="S61" s="12">
        <f>SUMIF($M$52:$M$57,D61,$S$52:$S$57)</f>
        <v>0</v>
      </c>
      <c r="T61" s="150"/>
      <c r="U61" s="8"/>
    </row>
    <row r="62" spans="1:21" s="2" customFormat="1" ht="91.5" customHeight="1" outlineLevel="1" x14ac:dyDescent="0.25">
      <c r="A62" s="104">
        <v>34</v>
      </c>
      <c r="B62" s="132" t="s">
        <v>132</v>
      </c>
      <c r="C62" s="132" t="s">
        <v>133</v>
      </c>
      <c r="D62" s="132" t="s">
        <v>101</v>
      </c>
      <c r="E62" s="132"/>
      <c r="F62" s="132"/>
      <c r="G62" s="132"/>
      <c r="H62" s="132"/>
      <c r="I62" s="132"/>
      <c r="J62" s="132"/>
      <c r="K62" s="58" t="s">
        <v>328</v>
      </c>
      <c r="L62" s="132" t="s">
        <v>134</v>
      </c>
      <c r="M62" s="132" t="s">
        <v>2</v>
      </c>
      <c r="N62" s="32">
        <v>74000000000</v>
      </c>
      <c r="O62" s="32">
        <v>74000000000</v>
      </c>
      <c r="P62" s="35" t="s">
        <v>135</v>
      </c>
      <c r="Q62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2" s="32">
        <f>27971909177.5+338144.2</f>
        <v>27972247321.700001</v>
      </c>
      <c r="S62" s="116">
        <f>O62-Q62</f>
        <v>8809523809.2999802</v>
      </c>
      <c r="T62" s="140" t="s">
        <v>76</v>
      </c>
      <c r="U62" s="1"/>
    </row>
    <row r="63" spans="1:21" s="2" customFormat="1" ht="91.5" customHeight="1" outlineLevel="1" x14ac:dyDescent="0.25">
      <c r="A63" s="104">
        <v>35</v>
      </c>
      <c r="B63" s="132" t="s">
        <v>132</v>
      </c>
      <c r="C63" s="132" t="s">
        <v>136</v>
      </c>
      <c r="D63" s="132" t="s">
        <v>280</v>
      </c>
      <c r="E63" s="132"/>
      <c r="F63" s="132"/>
      <c r="G63" s="132"/>
      <c r="H63" s="132"/>
      <c r="I63" s="132"/>
      <c r="J63" s="132"/>
      <c r="K63" s="58" t="s">
        <v>329</v>
      </c>
      <c r="L63" s="132" t="s">
        <v>137</v>
      </c>
      <c r="M63" s="132" t="s">
        <v>2</v>
      </c>
      <c r="N63" s="32">
        <v>2035890300</v>
      </c>
      <c r="O63" s="32">
        <v>2035890300</v>
      </c>
      <c r="P63" s="35" t="s">
        <v>44</v>
      </c>
      <c r="Q63" s="32">
        <v>0</v>
      </c>
      <c r="R63" s="32">
        <v>0</v>
      </c>
      <c r="S63" s="116">
        <f t="shared" ref="S63:S68" si="4">O63-Q63</f>
        <v>2035890300</v>
      </c>
      <c r="T63" s="140" t="s">
        <v>76</v>
      </c>
      <c r="U63" s="1"/>
    </row>
    <row r="64" spans="1:21" ht="121.5" outlineLevel="1" x14ac:dyDescent="0.25">
      <c r="A64" s="103">
        <v>36</v>
      </c>
      <c r="B64" s="131" t="s">
        <v>138</v>
      </c>
      <c r="C64" s="132" t="s">
        <v>139</v>
      </c>
      <c r="D64" s="107" t="s">
        <v>27</v>
      </c>
      <c r="E64" s="135" t="s">
        <v>29</v>
      </c>
      <c r="F64" s="116">
        <v>3500000</v>
      </c>
      <c r="G64" s="116">
        <v>3500000</v>
      </c>
      <c r="H64" s="35">
        <v>7.4999999999999997E-3</v>
      </c>
      <c r="I64" s="34">
        <v>0</v>
      </c>
      <c r="J64" s="116">
        <f>G64-I64</f>
        <v>3500000</v>
      </c>
      <c r="K64" s="109" t="s">
        <v>330</v>
      </c>
      <c r="L64" s="107" t="s">
        <v>140</v>
      </c>
      <c r="M64" s="135" t="s">
        <v>29</v>
      </c>
      <c r="N64" s="32">
        <v>3500000</v>
      </c>
      <c r="O64" s="32">
        <v>3500000</v>
      </c>
      <c r="P64" s="35">
        <v>7.4999999999999997E-3</v>
      </c>
      <c r="Q64" s="32">
        <f>696000+31440060/542.07+58000+24255020/418.19+24400600/420.7+25920780/446.91</f>
        <v>986000</v>
      </c>
      <c r="R64" s="32">
        <f>399592.922231146+10515+10297.5+4215355.2/418.19+4149153.8/420.7+4310447/446.91</f>
        <v>449992.92246187496</v>
      </c>
      <c r="S64" s="116">
        <f t="shared" si="4"/>
        <v>2514000</v>
      </c>
      <c r="T64" s="140" t="s">
        <v>76</v>
      </c>
    </row>
    <row r="65" spans="1:21" ht="69" customHeight="1" outlineLevel="1" x14ac:dyDescent="0.25">
      <c r="A65" s="104">
        <v>37</v>
      </c>
      <c r="B65" s="131" t="s">
        <v>141</v>
      </c>
      <c r="C65" s="132" t="s">
        <v>142</v>
      </c>
      <c r="D65" s="132" t="s">
        <v>143</v>
      </c>
      <c r="E65" s="117" t="s">
        <v>431</v>
      </c>
      <c r="F65" s="46">
        <v>1173750</v>
      </c>
      <c r="G65" s="46">
        <v>1109413</v>
      </c>
      <c r="H65" s="133"/>
      <c r="I65" s="46"/>
      <c r="J65" s="46"/>
      <c r="K65" s="117" t="s">
        <v>331</v>
      </c>
      <c r="L65" s="107" t="s">
        <v>144</v>
      </c>
      <c r="M65" s="135" t="s">
        <v>51</v>
      </c>
      <c r="N65" s="116">
        <v>1689937.9</v>
      </c>
      <c r="O65" s="32">
        <v>1689937.9</v>
      </c>
      <c r="P65" s="133">
        <v>5.9900000000000002E-2</v>
      </c>
      <c r="Q65" s="32">
        <f>872805.23+28165+28165</f>
        <v>929135.23</v>
      </c>
      <c r="R65" s="32">
        <f>1964862.47+25588.58+24871.58</f>
        <v>2015322.6300000001</v>
      </c>
      <c r="S65" s="116">
        <f t="shared" si="4"/>
        <v>760802.66999999993</v>
      </c>
      <c r="T65" s="142" t="s">
        <v>76</v>
      </c>
    </row>
    <row r="66" spans="1:21" ht="69.75" customHeight="1" outlineLevel="1" x14ac:dyDescent="0.25">
      <c r="A66" s="103">
        <v>38</v>
      </c>
      <c r="B66" s="131" t="s">
        <v>145</v>
      </c>
      <c r="C66" s="132" t="s">
        <v>146</v>
      </c>
      <c r="D66" s="132" t="s">
        <v>143</v>
      </c>
      <c r="E66" s="135" t="s">
        <v>51</v>
      </c>
      <c r="F66" s="46">
        <v>2828000</v>
      </c>
      <c r="G66" s="46">
        <v>2828000</v>
      </c>
      <c r="H66" s="133"/>
      <c r="I66" s="46"/>
      <c r="J66" s="46"/>
      <c r="K66" s="117" t="s">
        <v>332</v>
      </c>
      <c r="L66" s="107" t="s">
        <v>147</v>
      </c>
      <c r="M66" s="135" t="s">
        <v>51</v>
      </c>
      <c r="N66" s="116">
        <v>2828000</v>
      </c>
      <c r="O66" s="32">
        <v>2828000</v>
      </c>
      <c r="P66" s="133">
        <v>5.9900000000000002E-2</v>
      </c>
      <c r="Q66" s="116">
        <f>1128831.5+47000</f>
        <v>1175831.5</v>
      </c>
      <c r="R66" s="32">
        <f>1731608.85+50775.51</f>
        <v>1782384.36</v>
      </c>
      <c r="S66" s="116">
        <f t="shared" si="4"/>
        <v>1652168.5</v>
      </c>
      <c r="T66" s="142" t="s">
        <v>76</v>
      </c>
    </row>
    <row r="67" spans="1:21" s="4" customFormat="1" ht="177" customHeight="1" outlineLevel="1" x14ac:dyDescent="0.2">
      <c r="A67" s="104">
        <v>39</v>
      </c>
      <c r="B67" s="131" t="s">
        <v>148</v>
      </c>
      <c r="C67" s="132" t="s">
        <v>149</v>
      </c>
      <c r="D67" s="132" t="s">
        <v>143</v>
      </c>
      <c r="E67" s="117" t="s">
        <v>431</v>
      </c>
      <c r="F67" s="46">
        <v>7900000</v>
      </c>
      <c r="G67" s="59"/>
      <c r="H67" s="59"/>
      <c r="I67" s="59"/>
      <c r="J67" s="59"/>
      <c r="K67" s="107" t="s">
        <v>333</v>
      </c>
      <c r="L67" s="107" t="s">
        <v>150</v>
      </c>
      <c r="M67" s="132" t="s">
        <v>2</v>
      </c>
      <c r="N67" s="60">
        <v>2092000000</v>
      </c>
      <c r="O67" s="32">
        <v>2092000000</v>
      </c>
      <c r="P67" s="61">
        <v>0.02</v>
      </c>
      <c r="Q67" s="32">
        <f>354576270+35457627.1+35457627+35457627</f>
        <v>460949151.10000002</v>
      </c>
      <c r="R67" s="32">
        <f>426427783.87+17517039.3+16879773.4+16802058.1</f>
        <v>477626654.67000002</v>
      </c>
      <c r="S67" s="116">
        <f t="shared" si="4"/>
        <v>1631050848.9000001</v>
      </c>
      <c r="T67" s="142" t="s">
        <v>76</v>
      </c>
      <c r="U67" s="3"/>
    </row>
    <row r="68" spans="1:21" s="4" customFormat="1" ht="169.5" customHeight="1" outlineLevel="1" thickBot="1" x14ac:dyDescent="0.25">
      <c r="A68" s="103">
        <v>40</v>
      </c>
      <c r="B68" s="131" t="s">
        <v>148</v>
      </c>
      <c r="C68" s="132" t="s">
        <v>151</v>
      </c>
      <c r="D68" s="132" t="s">
        <v>143</v>
      </c>
      <c r="E68" s="117"/>
      <c r="F68" s="46"/>
      <c r="G68" s="59"/>
      <c r="H68" s="59"/>
      <c r="I68" s="59"/>
      <c r="J68" s="59"/>
      <c r="K68" s="107" t="s">
        <v>334</v>
      </c>
      <c r="L68" s="107" t="s">
        <v>152</v>
      </c>
      <c r="M68" s="107" t="s">
        <v>2</v>
      </c>
      <c r="N68" s="60">
        <v>2187306400</v>
      </c>
      <c r="O68" s="60">
        <v>2187306400</v>
      </c>
      <c r="P68" s="61">
        <v>0.03</v>
      </c>
      <c r="Q68" s="32">
        <v>0</v>
      </c>
      <c r="R68" s="32">
        <f>224789707.9+33079263.9+32539928.1+33079263.9</f>
        <v>323488163.80000001</v>
      </c>
      <c r="S68" s="116">
        <f t="shared" si="4"/>
        <v>2187306400</v>
      </c>
      <c r="T68" s="142" t="s">
        <v>76</v>
      </c>
      <c r="U68" s="3"/>
    </row>
    <row r="69" spans="1:21" s="9" customFormat="1" ht="15" customHeight="1" x14ac:dyDescent="0.25">
      <c r="A69" s="496" t="s">
        <v>153</v>
      </c>
      <c r="B69" s="497"/>
      <c r="C69" s="497"/>
      <c r="D69" s="519" t="s">
        <v>29</v>
      </c>
      <c r="E69" s="519"/>
      <c r="F69" s="519"/>
      <c r="G69" s="519"/>
      <c r="H69" s="519"/>
      <c r="I69" s="519"/>
      <c r="J69" s="519"/>
      <c r="K69" s="519"/>
      <c r="L69" s="519"/>
      <c r="M69" s="53"/>
      <c r="N69" s="13">
        <f>SUMIF($M$62:$M$68,D69,$N$62:$N$68)</f>
        <v>3500000</v>
      </c>
      <c r="O69" s="13">
        <f>SUMIF($M$62:$M$68,D69,$O$62:$O$68)</f>
        <v>3500000</v>
      </c>
      <c r="P69" s="13"/>
      <c r="Q69" s="13">
        <f>SUMIF($M$62:$M$68,D69,$Q$62:$Q$68)</f>
        <v>986000</v>
      </c>
      <c r="R69" s="13">
        <f>SUMIF($M$62:$M$68,D69,$R$62:$R$68)</f>
        <v>449992.92246187496</v>
      </c>
      <c r="S69" s="13">
        <f>SUMIF($M$62:$M$68,D69,$S$62:$S$68)</f>
        <v>2514000</v>
      </c>
      <c r="T69" s="147"/>
      <c r="U69" s="8"/>
    </row>
    <row r="70" spans="1:21" s="9" customFormat="1" ht="15" customHeight="1" x14ac:dyDescent="0.25">
      <c r="A70" s="485"/>
      <c r="B70" s="486"/>
      <c r="C70" s="486"/>
      <c r="D70" s="503" t="s">
        <v>2</v>
      </c>
      <c r="E70" s="503"/>
      <c r="F70" s="503"/>
      <c r="G70" s="503"/>
      <c r="H70" s="503"/>
      <c r="I70" s="503"/>
      <c r="J70" s="503"/>
      <c r="K70" s="503"/>
      <c r="L70" s="503"/>
      <c r="M70" s="54"/>
      <c r="N70" s="11">
        <f>SUMIF($M$62:$M$68,D70,$N$62:$N$68)</f>
        <v>80315196700</v>
      </c>
      <c r="O70" s="11">
        <f>SUMIF($M$62:$M$68,D70,$O$62:$O$68)</f>
        <v>80315196700</v>
      </c>
      <c r="P70" s="11"/>
      <c r="Q70" s="11">
        <f>SUMIF($M$62:$M$68,D70,$Q$62:$Q$68)</f>
        <v>65651425341.800018</v>
      </c>
      <c r="R70" s="11">
        <f>SUMIF($M$62:$M$68,D70,$R$62:$R$68)</f>
        <v>28773362140.169998</v>
      </c>
      <c r="S70" s="11">
        <f>SUMIF($M$62:$M$68,D70,$S$62:$S$68)</f>
        <v>14663771358.19998</v>
      </c>
      <c r="T70" s="148"/>
      <c r="U70" s="8"/>
    </row>
    <row r="71" spans="1:21" s="9" customFormat="1" ht="15" customHeight="1" x14ac:dyDescent="0.25">
      <c r="A71" s="485"/>
      <c r="B71" s="486"/>
      <c r="C71" s="486"/>
      <c r="D71" s="503" t="s">
        <v>51</v>
      </c>
      <c r="E71" s="503"/>
      <c r="F71" s="503"/>
      <c r="G71" s="503"/>
      <c r="H71" s="503"/>
      <c r="I71" s="503"/>
      <c r="J71" s="503"/>
      <c r="K71" s="503"/>
      <c r="L71" s="503"/>
      <c r="M71" s="54"/>
      <c r="N71" s="11">
        <f>SUMIF($M$62:$M$68,D71,$N$62:$N$68)</f>
        <v>4517937.9000000004</v>
      </c>
      <c r="O71" s="11">
        <f>SUMIF($M$62:$M$68,D71,$O$62:$O$68)</f>
        <v>4517937.9000000004</v>
      </c>
      <c r="P71" s="11"/>
      <c r="Q71" s="11">
        <f>SUMIF($M$62:$M$68,D71,$Q$62:$Q$68)</f>
        <v>2104966.73</v>
      </c>
      <c r="R71" s="11">
        <f>SUMIF($M$62:$M$68,D71,$R$62:$R$68)</f>
        <v>3797706.99</v>
      </c>
      <c r="S71" s="11">
        <f>SUMIF($M$62:$M$68,D71,$S$62:$S$68)</f>
        <v>2412971.17</v>
      </c>
      <c r="T71" s="148"/>
      <c r="U71" s="8"/>
    </row>
    <row r="72" spans="1:21" s="9" customFormat="1" ht="15" thickBot="1" x14ac:dyDescent="0.3">
      <c r="A72" s="506"/>
      <c r="B72" s="507"/>
      <c r="C72" s="507"/>
      <c r="D72" s="520" t="s">
        <v>71</v>
      </c>
      <c r="E72" s="520"/>
      <c r="F72" s="520"/>
      <c r="G72" s="520"/>
      <c r="H72" s="520"/>
      <c r="I72" s="520"/>
      <c r="J72" s="520"/>
      <c r="K72" s="520"/>
      <c r="L72" s="520"/>
      <c r="M72" s="57"/>
      <c r="N72" s="12">
        <f>SUMIF($M$62:$M$68,D72,$N$62:$N$68)</f>
        <v>0</v>
      </c>
      <c r="O72" s="12">
        <f>SUMIF($M$62:$M$68,D72,$O$62:$O$68)</f>
        <v>0</v>
      </c>
      <c r="P72" s="12"/>
      <c r="Q72" s="12">
        <f>SUMIF($M$62:$M$68,D72,$Q$62:$Q$68)</f>
        <v>0</v>
      </c>
      <c r="R72" s="12">
        <f>SUMIF($M$62:$M$68,D72,$R$62:$R$68)</f>
        <v>0</v>
      </c>
      <c r="S72" s="12">
        <f>SUMIF($M$62:$M$68,D72,$S$62:$S$68)</f>
        <v>0</v>
      </c>
      <c r="T72" s="150"/>
      <c r="U72" s="8"/>
    </row>
    <row r="73" spans="1:21" s="2" customFormat="1" ht="77.25" customHeight="1" outlineLevel="1" x14ac:dyDescent="0.25">
      <c r="A73" s="104">
        <v>41</v>
      </c>
      <c r="B73" s="131" t="s">
        <v>154</v>
      </c>
      <c r="C73" s="132" t="s">
        <v>155</v>
      </c>
      <c r="D73" s="132" t="s">
        <v>93</v>
      </c>
      <c r="E73" s="132"/>
      <c r="F73" s="132"/>
      <c r="G73" s="132"/>
      <c r="H73" s="132"/>
      <c r="I73" s="132"/>
      <c r="J73" s="132"/>
      <c r="K73" s="132" t="s">
        <v>335</v>
      </c>
      <c r="L73" s="132" t="s">
        <v>156</v>
      </c>
      <c r="M73" s="135" t="s">
        <v>51</v>
      </c>
      <c r="N73" s="32">
        <v>361332</v>
      </c>
      <c r="O73" s="32">
        <v>361332</v>
      </c>
      <c r="P73" s="35">
        <v>7.7700000000000005E-2</v>
      </c>
      <c r="Q73" s="32">
        <v>219031</v>
      </c>
      <c r="R73" s="32">
        <f>187530</f>
        <v>187530</v>
      </c>
      <c r="S73" s="116">
        <f>O73-Q73</f>
        <v>142301</v>
      </c>
      <c r="T73" s="140" t="s">
        <v>157</v>
      </c>
      <c r="U73" s="1"/>
    </row>
    <row r="74" spans="1:21" ht="64.5" customHeight="1" outlineLevel="1" x14ac:dyDescent="0.25">
      <c r="A74" s="104">
        <v>42</v>
      </c>
      <c r="B74" s="131" t="s">
        <v>158</v>
      </c>
      <c r="C74" s="132" t="s">
        <v>159</v>
      </c>
      <c r="D74" s="113" t="s">
        <v>118</v>
      </c>
      <c r="E74" s="117"/>
      <c r="F74" s="117"/>
      <c r="G74" s="117"/>
      <c r="H74" s="117"/>
      <c r="I74" s="117"/>
      <c r="J74" s="117"/>
      <c r="K74" s="109" t="s">
        <v>336</v>
      </c>
      <c r="L74" s="32" t="s">
        <v>160</v>
      </c>
      <c r="M74" s="135" t="s">
        <v>29</v>
      </c>
      <c r="N74" s="32">
        <v>8000000</v>
      </c>
      <c r="O74" s="32">
        <v>80000</v>
      </c>
      <c r="P74" s="35" t="s">
        <v>44</v>
      </c>
      <c r="Q74" s="32">
        <f>10909.09+3636.36+3636.36+1428217/392.76+1554016/427.35+3636.4</f>
        <v>29090.971703756208</v>
      </c>
      <c r="R74" s="32">
        <f>105386.95+361.72+42360.02+4761284/392.76+5116448/427.35+12019.8</f>
        <v>184223.61988818215</v>
      </c>
      <c r="S74" s="116">
        <f>O74-Q74</f>
        <v>50909.028296243792</v>
      </c>
      <c r="T74" s="140" t="s">
        <v>161</v>
      </c>
    </row>
    <row r="75" spans="1:21" ht="53.25" customHeight="1" outlineLevel="1" x14ac:dyDescent="0.25">
      <c r="A75" s="104">
        <v>43</v>
      </c>
      <c r="B75" s="131" t="s">
        <v>158</v>
      </c>
      <c r="C75" s="132" t="s">
        <v>162</v>
      </c>
      <c r="D75" s="113" t="s">
        <v>126</v>
      </c>
      <c r="E75" s="117"/>
      <c r="F75" s="117"/>
      <c r="G75" s="117"/>
      <c r="H75" s="117"/>
      <c r="I75" s="117"/>
      <c r="J75" s="117"/>
      <c r="K75" s="109" t="s">
        <v>337</v>
      </c>
      <c r="L75" s="32" t="s">
        <v>160</v>
      </c>
      <c r="M75" s="135" t="s">
        <v>29</v>
      </c>
      <c r="N75" s="32">
        <v>8000000</v>
      </c>
      <c r="O75" s="32"/>
      <c r="P75" s="35" t="s">
        <v>44</v>
      </c>
      <c r="Q75" s="32"/>
      <c r="R75" s="32"/>
      <c r="S75" s="116">
        <f>O75-Q75</f>
        <v>0</v>
      </c>
      <c r="T75" s="140" t="s">
        <v>161</v>
      </c>
    </row>
    <row r="76" spans="1:21" ht="53.25" customHeight="1" outlineLevel="1" x14ac:dyDescent="0.25">
      <c r="A76" s="532">
        <v>44</v>
      </c>
      <c r="B76" s="534" t="s">
        <v>163</v>
      </c>
      <c r="C76" s="521" t="s">
        <v>264</v>
      </c>
      <c r="D76" s="113"/>
      <c r="E76" s="117"/>
      <c r="F76" s="117"/>
      <c r="G76" s="117"/>
      <c r="H76" s="117"/>
      <c r="I76" s="117"/>
      <c r="J76" s="117"/>
      <c r="K76" s="109" t="s">
        <v>338</v>
      </c>
      <c r="L76" s="521" t="s">
        <v>281</v>
      </c>
      <c r="M76" s="135" t="s">
        <v>29</v>
      </c>
      <c r="N76" s="32">
        <v>5500000</v>
      </c>
      <c r="O76" s="32">
        <f>1384955.78+492272.39+301757.1+219245.55+25340.75</f>
        <v>2423571.5699999998</v>
      </c>
      <c r="P76" s="35" t="s">
        <v>44</v>
      </c>
      <c r="Q76" s="32"/>
      <c r="R76" s="32"/>
      <c r="S76" s="116">
        <f t="shared" ref="S76:S82" si="5">O76-Q76</f>
        <v>2423571.5699999998</v>
      </c>
      <c r="T76" s="140" t="s">
        <v>76</v>
      </c>
    </row>
    <row r="77" spans="1:21" outlineLevel="1" x14ac:dyDescent="0.25">
      <c r="A77" s="533"/>
      <c r="B77" s="527"/>
      <c r="C77" s="528"/>
      <c r="D77" s="113"/>
      <c r="E77" s="117"/>
      <c r="F77" s="117"/>
      <c r="G77" s="117"/>
      <c r="H77" s="117"/>
      <c r="I77" s="117"/>
      <c r="J77" s="117"/>
      <c r="K77" s="109"/>
      <c r="L77" s="528"/>
      <c r="M77" s="107" t="s">
        <v>2</v>
      </c>
      <c r="N77" s="32">
        <v>92733053.200000003</v>
      </c>
      <c r="O77" s="32">
        <f>92733053.2+20276600+1679251+16492341.9+20399976.4+42969092+26833268.5</f>
        <v>221383583</v>
      </c>
      <c r="P77" s="35"/>
      <c r="Q77" s="32"/>
      <c r="R77" s="32"/>
      <c r="S77" s="116">
        <f t="shared" si="5"/>
        <v>221383583</v>
      </c>
      <c r="T77" s="140"/>
    </row>
    <row r="78" spans="1:21" ht="54" outlineLevel="1" x14ac:dyDescent="0.25">
      <c r="A78" s="104">
        <v>45</v>
      </c>
      <c r="B78" s="131" t="s">
        <v>164</v>
      </c>
      <c r="C78" s="132" t="s">
        <v>165</v>
      </c>
      <c r="D78" s="132" t="s">
        <v>113</v>
      </c>
      <c r="E78" s="117"/>
      <c r="F78" s="117"/>
      <c r="G78" s="117"/>
      <c r="H78" s="117"/>
      <c r="I78" s="117"/>
      <c r="J78" s="117"/>
      <c r="K78" s="109" t="s">
        <v>339</v>
      </c>
      <c r="L78" s="32" t="s">
        <v>166</v>
      </c>
      <c r="M78" s="107" t="s">
        <v>2</v>
      </c>
      <c r="N78" s="32">
        <v>249300000</v>
      </c>
      <c r="O78" s="32">
        <v>249300000</v>
      </c>
      <c r="P78" s="38">
        <v>1E-3</v>
      </c>
      <c r="Q78" s="32">
        <f>42881892.9</f>
        <v>42881892.899999999</v>
      </c>
      <c r="R78" s="32">
        <f>528153.5</f>
        <v>528153.5</v>
      </c>
      <c r="S78" s="116">
        <f t="shared" si="5"/>
        <v>206418107.09999999</v>
      </c>
      <c r="T78" s="140" t="s">
        <v>76</v>
      </c>
    </row>
    <row r="79" spans="1:21" ht="148.5" outlineLevel="1" x14ac:dyDescent="0.25">
      <c r="A79" s="104">
        <v>46</v>
      </c>
      <c r="B79" s="119" t="s">
        <v>107</v>
      </c>
      <c r="C79" s="111" t="s">
        <v>108</v>
      </c>
      <c r="D79" s="113" t="s">
        <v>101</v>
      </c>
      <c r="E79" s="117"/>
      <c r="F79" s="117"/>
      <c r="G79" s="117"/>
      <c r="H79" s="117"/>
      <c r="I79" s="117"/>
      <c r="J79" s="117"/>
      <c r="K79" s="112" t="s">
        <v>340</v>
      </c>
      <c r="L79" s="137" t="s">
        <v>109</v>
      </c>
      <c r="M79" s="135" t="s">
        <v>51</v>
      </c>
      <c r="N79" s="32">
        <v>4000000</v>
      </c>
      <c r="O79" s="32">
        <v>817235.07</v>
      </c>
      <c r="P79" s="35" t="s">
        <v>44</v>
      </c>
      <c r="Q79" s="32">
        <f>465353.9+34986668/397.71</f>
        <v>553324.19996731286</v>
      </c>
      <c r="R79" s="32">
        <f>188098.2+7483550/397.71</f>
        <v>206914.80003520154</v>
      </c>
      <c r="S79" s="124">
        <f>O79-Q79</f>
        <v>263910.87003268709</v>
      </c>
      <c r="T79" s="111" t="s">
        <v>110</v>
      </c>
    </row>
    <row r="80" spans="1:21" s="4" customFormat="1" ht="40.5" outlineLevel="1" x14ac:dyDescent="0.2">
      <c r="A80" s="104">
        <v>47</v>
      </c>
      <c r="B80" s="131" t="s">
        <v>167</v>
      </c>
      <c r="C80" s="132" t="s">
        <v>133</v>
      </c>
      <c r="D80" s="107" t="s">
        <v>101</v>
      </c>
      <c r="E80" s="117" t="s">
        <v>2</v>
      </c>
      <c r="F80" s="117"/>
      <c r="G80" s="132"/>
      <c r="H80" s="132"/>
      <c r="I80" s="132"/>
      <c r="J80" s="132"/>
      <c r="K80" s="107" t="s">
        <v>341</v>
      </c>
      <c r="L80" s="107" t="s">
        <v>291</v>
      </c>
      <c r="M80" s="107" t="s">
        <v>2</v>
      </c>
      <c r="N80" s="60">
        <v>50600000</v>
      </c>
      <c r="O80" s="32">
        <v>50600000</v>
      </c>
      <c r="P80" s="131" t="s">
        <v>168</v>
      </c>
      <c r="Q80" s="32"/>
      <c r="R80" s="32"/>
      <c r="S80" s="60">
        <f t="shared" si="5"/>
        <v>50600000</v>
      </c>
      <c r="T80" s="140" t="s">
        <v>76</v>
      </c>
      <c r="U80" s="3"/>
    </row>
    <row r="81" spans="1:21" s="4" customFormat="1" ht="40.5" outlineLevel="1" x14ac:dyDescent="0.2">
      <c r="A81" s="104">
        <v>48</v>
      </c>
      <c r="B81" s="131" t="s">
        <v>167</v>
      </c>
      <c r="C81" s="132" t="s">
        <v>133</v>
      </c>
      <c r="D81" s="107" t="s">
        <v>101</v>
      </c>
      <c r="E81" s="117" t="s">
        <v>2</v>
      </c>
      <c r="F81" s="117"/>
      <c r="G81" s="117"/>
      <c r="H81" s="117"/>
      <c r="I81" s="117"/>
      <c r="J81" s="117"/>
      <c r="K81" s="107" t="s">
        <v>342</v>
      </c>
      <c r="L81" s="107" t="s">
        <v>292</v>
      </c>
      <c r="M81" s="132" t="s">
        <v>2</v>
      </c>
      <c r="N81" s="60">
        <v>1100000000</v>
      </c>
      <c r="O81" s="32">
        <v>1100000000</v>
      </c>
      <c r="P81" s="131" t="s">
        <v>168</v>
      </c>
      <c r="Q81" s="32"/>
      <c r="R81" s="32"/>
      <c r="S81" s="60">
        <f t="shared" si="5"/>
        <v>1100000000</v>
      </c>
      <c r="T81" s="534" t="s">
        <v>267</v>
      </c>
      <c r="U81" s="3"/>
    </row>
    <row r="82" spans="1:21" s="4" customFormat="1" ht="40.5" outlineLevel="1" x14ac:dyDescent="0.2">
      <c r="A82" s="104">
        <v>49</v>
      </c>
      <c r="B82" s="131" t="s">
        <v>167</v>
      </c>
      <c r="C82" s="132" t="s">
        <v>133</v>
      </c>
      <c r="D82" s="107" t="s">
        <v>101</v>
      </c>
      <c r="E82" s="117" t="s">
        <v>2</v>
      </c>
      <c r="F82" s="117"/>
      <c r="G82" s="117"/>
      <c r="H82" s="117"/>
      <c r="I82" s="117"/>
      <c r="J82" s="117"/>
      <c r="K82" s="107" t="s">
        <v>343</v>
      </c>
      <c r="L82" s="107" t="s">
        <v>293</v>
      </c>
      <c r="M82" s="132" t="s">
        <v>2</v>
      </c>
      <c r="N82" s="60">
        <v>792386600</v>
      </c>
      <c r="O82" s="32">
        <v>791031693</v>
      </c>
      <c r="P82" s="131" t="s">
        <v>168</v>
      </c>
      <c r="Q82" s="32"/>
      <c r="R82" s="32"/>
      <c r="S82" s="60">
        <f t="shared" si="5"/>
        <v>791031693</v>
      </c>
      <c r="T82" s="526"/>
      <c r="U82" s="3"/>
    </row>
    <row r="83" spans="1:21" s="4" customFormat="1" ht="40.5" outlineLevel="1" x14ac:dyDescent="0.2">
      <c r="A83" s="104">
        <v>50</v>
      </c>
      <c r="B83" s="131" t="s">
        <v>167</v>
      </c>
      <c r="C83" s="132" t="s">
        <v>133</v>
      </c>
      <c r="D83" s="107" t="s">
        <v>101</v>
      </c>
      <c r="E83" s="117" t="s">
        <v>2</v>
      </c>
      <c r="F83" s="117"/>
      <c r="G83" s="117"/>
      <c r="H83" s="117"/>
      <c r="I83" s="117"/>
      <c r="J83" s="117"/>
      <c r="K83" s="107" t="s">
        <v>344</v>
      </c>
      <c r="L83" s="107" t="s">
        <v>294</v>
      </c>
      <c r="M83" s="132" t="s">
        <v>2</v>
      </c>
      <c r="N83" s="60">
        <v>254672300</v>
      </c>
      <c r="O83" s="32">
        <f>168444408+75498000+5196300+5196300</f>
        <v>254335008</v>
      </c>
      <c r="P83" s="131" t="s">
        <v>168</v>
      </c>
      <c r="Q83" s="32"/>
      <c r="R83" s="32"/>
      <c r="S83" s="60">
        <f>O83-Q83</f>
        <v>254335008</v>
      </c>
      <c r="T83" s="527"/>
      <c r="U83" s="3"/>
    </row>
    <row r="84" spans="1:21" s="4" customFormat="1" ht="40.5" outlineLevel="1" x14ac:dyDescent="0.2">
      <c r="A84" s="104">
        <v>51</v>
      </c>
      <c r="B84" s="131" t="s">
        <v>169</v>
      </c>
      <c r="C84" s="132" t="s">
        <v>133</v>
      </c>
      <c r="D84" s="107" t="s">
        <v>113</v>
      </c>
      <c r="E84" s="117" t="s">
        <v>2</v>
      </c>
      <c r="F84" s="117"/>
      <c r="G84" s="117"/>
      <c r="H84" s="117"/>
      <c r="I84" s="117"/>
      <c r="J84" s="117"/>
      <c r="K84" s="107" t="s">
        <v>345</v>
      </c>
      <c r="L84" s="107" t="s">
        <v>170</v>
      </c>
      <c r="M84" s="132" t="s">
        <v>2</v>
      </c>
      <c r="N84" s="60">
        <v>88731015</v>
      </c>
      <c r="O84" s="32">
        <v>88731000</v>
      </c>
      <c r="P84" s="62">
        <v>8.5000000000000006E-2</v>
      </c>
      <c r="Q84" s="32"/>
      <c r="R84" s="32">
        <v>1591081</v>
      </c>
      <c r="S84" s="60">
        <f t="shared" ref="S84:S98" si="6">O84-Q84</f>
        <v>88731000</v>
      </c>
      <c r="T84" s="142" t="s">
        <v>171</v>
      </c>
      <c r="U84" s="3"/>
    </row>
    <row r="85" spans="1:21" s="4" customFormat="1" ht="40.5" outlineLevel="1" x14ac:dyDescent="0.2">
      <c r="A85" s="104">
        <v>52</v>
      </c>
      <c r="B85" s="131" t="s">
        <v>172</v>
      </c>
      <c r="C85" s="132" t="s">
        <v>173</v>
      </c>
      <c r="D85" s="107" t="s">
        <v>113</v>
      </c>
      <c r="E85" s="117" t="s">
        <v>2</v>
      </c>
      <c r="F85" s="117"/>
      <c r="G85" s="117"/>
      <c r="H85" s="117"/>
      <c r="I85" s="117"/>
      <c r="J85" s="117"/>
      <c r="K85" s="107" t="s">
        <v>346</v>
      </c>
      <c r="L85" s="107" t="s">
        <v>174</v>
      </c>
      <c r="M85" s="132" t="s">
        <v>2</v>
      </c>
      <c r="N85" s="60">
        <v>3840000000</v>
      </c>
      <c r="O85" s="32">
        <v>3840000000</v>
      </c>
      <c r="P85" s="63">
        <v>1.0000000000000001E-5</v>
      </c>
      <c r="Q85" s="32">
        <v>3484641868</v>
      </c>
      <c r="R85" s="32">
        <v>37169</v>
      </c>
      <c r="S85" s="60">
        <f t="shared" si="6"/>
        <v>355358132</v>
      </c>
      <c r="T85" s="142" t="s">
        <v>76</v>
      </c>
      <c r="U85" s="3"/>
    </row>
    <row r="86" spans="1:21" ht="94.5" outlineLevel="1" x14ac:dyDescent="0.25">
      <c r="A86" s="104">
        <v>53</v>
      </c>
      <c r="B86" s="119" t="s">
        <v>175</v>
      </c>
      <c r="C86" s="111" t="s">
        <v>173</v>
      </c>
      <c r="D86" s="111" t="s">
        <v>143</v>
      </c>
      <c r="E86" s="111"/>
      <c r="F86" s="111"/>
      <c r="G86" s="111"/>
      <c r="H86" s="111"/>
      <c r="I86" s="111"/>
      <c r="J86" s="111"/>
      <c r="K86" s="132" t="s">
        <v>347</v>
      </c>
      <c r="L86" s="132" t="s">
        <v>176</v>
      </c>
      <c r="M86" s="132" t="s">
        <v>51</v>
      </c>
      <c r="N86" s="64">
        <v>8944984.0899999999</v>
      </c>
      <c r="O86" s="32">
        <v>8944984.0899999999</v>
      </c>
      <c r="P86" s="65">
        <v>7.4999999999999997E-3</v>
      </c>
      <c r="Q86" s="32">
        <f>2425758.4+151609.9+151609.9</f>
        <v>2728978.1999999997</v>
      </c>
      <c r="R86" s="32">
        <f>881276.03+25084.35+24380.12+23943.98</f>
        <v>954684.48</v>
      </c>
      <c r="S86" s="116">
        <f t="shared" si="6"/>
        <v>6216005.8900000006</v>
      </c>
      <c r="T86" s="141" t="s">
        <v>76</v>
      </c>
    </row>
    <row r="87" spans="1:21" ht="55.5" customHeight="1" outlineLevel="1" x14ac:dyDescent="0.25">
      <c r="A87" s="512">
        <v>54</v>
      </c>
      <c r="B87" s="534" t="s">
        <v>177</v>
      </c>
      <c r="C87" s="521" t="s">
        <v>173</v>
      </c>
      <c r="D87" s="521" t="s">
        <v>143</v>
      </c>
      <c r="E87" s="111"/>
      <c r="F87" s="111"/>
      <c r="G87" s="111"/>
      <c r="H87" s="111"/>
      <c r="I87" s="111"/>
      <c r="J87" s="111"/>
      <c r="K87" s="521" t="s">
        <v>348</v>
      </c>
      <c r="L87" s="132" t="s">
        <v>178</v>
      </c>
      <c r="M87" s="132" t="s">
        <v>2</v>
      </c>
      <c r="N87" s="64">
        <v>93025000</v>
      </c>
      <c r="O87" s="32">
        <v>93025000</v>
      </c>
      <c r="P87" s="65">
        <v>7.4999999999999997E-3</v>
      </c>
      <c r="Q87" s="32">
        <f>13953750+930250+930250</f>
        <v>15814250</v>
      </c>
      <c r="R87" s="32">
        <f>9237334.28+296030</f>
        <v>9533364.2799999993</v>
      </c>
      <c r="S87" s="116">
        <f t="shared" si="6"/>
        <v>77210750</v>
      </c>
      <c r="T87" s="510" t="s">
        <v>76</v>
      </c>
    </row>
    <row r="88" spans="1:21" ht="55.5" customHeight="1" outlineLevel="1" x14ac:dyDescent="0.25">
      <c r="A88" s="535"/>
      <c r="B88" s="527"/>
      <c r="C88" s="528"/>
      <c r="D88" s="528"/>
      <c r="E88" s="111"/>
      <c r="F88" s="111"/>
      <c r="G88" s="111"/>
      <c r="H88" s="111"/>
      <c r="I88" s="111"/>
      <c r="J88" s="111"/>
      <c r="K88" s="528"/>
      <c r="L88" s="132" t="s">
        <v>178</v>
      </c>
      <c r="M88" s="132" t="s">
        <v>51</v>
      </c>
      <c r="N88" s="64">
        <v>5217725</v>
      </c>
      <c r="O88" s="32">
        <v>5217725</v>
      </c>
      <c r="P88" s="65">
        <v>7.4999999999999997E-3</v>
      </c>
      <c r="Q88" s="32">
        <f>782658.5+52177.25+52177.25</f>
        <v>887013</v>
      </c>
      <c r="R88" s="32">
        <f>538816.19+16480.36</f>
        <v>555296.54999999993</v>
      </c>
      <c r="S88" s="116">
        <f t="shared" si="6"/>
        <v>4330712</v>
      </c>
      <c r="T88" s="524"/>
    </row>
    <row r="89" spans="1:21" ht="94.5" outlineLevel="1" x14ac:dyDescent="0.25">
      <c r="A89" s="143">
        <v>55</v>
      </c>
      <c r="B89" s="119" t="s">
        <v>179</v>
      </c>
      <c r="C89" s="111" t="s">
        <v>173</v>
      </c>
      <c r="D89" s="111" t="s">
        <v>143</v>
      </c>
      <c r="E89" s="111"/>
      <c r="F89" s="111"/>
      <c r="G89" s="111"/>
      <c r="H89" s="111"/>
      <c r="I89" s="111"/>
      <c r="J89" s="111"/>
      <c r="K89" s="132" t="s">
        <v>349</v>
      </c>
      <c r="L89" s="132" t="s">
        <v>180</v>
      </c>
      <c r="M89" s="132" t="s">
        <v>51</v>
      </c>
      <c r="N89" s="64">
        <v>1989000</v>
      </c>
      <c r="O89" s="32">
        <v>1989000</v>
      </c>
      <c r="P89" s="65">
        <v>7.4999999999999997E-3</v>
      </c>
      <c r="Q89" s="32">
        <f>337118.7+33711.86+33711.86</f>
        <v>404542.42</v>
      </c>
      <c r="R89" s="32">
        <f>177150.18+6084.76</f>
        <v>183234.94</v>
      </c>
      <c r="S89" s="116">
        <f t="shared" si="6"/>
        <v>1584457.58</v>
      </c>
      <c r="T89" s="141" t="s">
        <v>76</v>
      </c>
    </row>
    <row r="90" spans="1:21" ht="108" outlineLevel="1" x14ac:dyDescent="0.25">
      <c r="A90" s="143">
        <v>56</v>
      </c>
      <c r="B90" s="119" t="s">
        <v>295</v>
      </c>
      <c r="C90" s="111" t="s">
        <v>296</v>
      </c>
      <c r="D90" s="111" t="s">
        <v>143</v>
      </c>
      <c r="E90" s="111" t="s">
        <v>431</v>
      </c>
      <c r="F90" s="111">
        <v>2190000</v>
      </c>
      <c r="G90" s="111"/>
      <c r="H90" s="111"/>
      <c r="I90" s="111"/>
      <c r="J90" s="111"/>
      <c r="K90" s="111" t="s">
        <v>350</v>
      </c>
      <c r="L90" s="111" t="s">
        <v>297</v>
      </c>
      <c r="M90" s="132" t="s">
        <v>2</v>
      </c>
      <c r="N90" s="64">
        <v>2047212646</v>
      </c>
      <c r="O90" s="137">
        <v>2047212646</v>
      </c>
      <c r="P90" s="65">
        <v>0.02</v>
      </c>
      <c r="Q90" s="32">
        <v>0</v>
      </c>
      <c r="R90" s="32">
        <f>88017538.4+20640391+20640391</f>
        <v>129298320.40000001</v>
      </c>
      <c r="S90" s="116">
        <v>2047212646</v>
      </c>
      <c r="T90" s="141" t="s">
        <v>76</v>
      </c>
    </row>
    <row r="91" spans="1:21" ht="256.5" outlineLevel="1" x14ac:dyDescent="0.25">
      <c r="A91" s="144">
        <v>57</v>
      </c>
      <c r="B91" s="119" t="s">
        <v>181</v>
      </c>
      <c r="C91" s="111" t="s">
        <v>182</v>
      </c>
      <c r="D91" s="111" t="s">
        <v>93</v>
      </c>
      <c r="E91" s="111"/>
      <c r="F91" s="111"/>
      <c r="G91" s="111"/>
      <c r="H91" s="111"/>
      <c r="I91" s="111"/>
      <c r="J91" s="111"/>
      <c r="K91" s="111" t="s">
        <v>351</v>
      </c>
      <c r="L91" s="111" t="s">
        <v>183</v>
      </c>
      <c r="M91" s="132" t="s">
        <v>51</v>
      </c>
      <c r="N91" s="64">
        <v>2217000</v>
      </c>
      <c r="O91" s="64">
        <v>2217000</v>
      </c>
      <c r="P91" s="66">
        <v>0.02</v>
      </c>
      <c r="Q91" s="32">
        <f>1656550.78+18166.04+7000680/387.28+18122.86+18122.86+32122.86+28837.1+8000</f>
        <v>1797999.0337740141</v>
      </c>
      <c r="R91" s="32">
        <f>108750.120345235+1633.42+698950/387.28+1809.39+1778.61+1691.44+3308.88+1649.96</f>
        <v>122426.58692238849</v>
      </c>
      <c r="S91" s="116">
        <v>1010837.1</v>
      </c>
      <c r="T91" s="141" t="s">
        <v>184</v>
      </c>
    </row>
    <row r="92" spans="1:21" ht="48.75" customHeight="1" outlineLevel="1" x14ac:dyDescent="0.25">
      <c r="A92" s="132">
        <v>58</v>
      </c>
      <c r="B92" s="131" t="s">
        <v>284</v>
      </c>
      <c r="C92" s="132" t="s">
        <v>285</v>
      </c>
      <c r="D92" s="132" t="s">
        <v>286</v>
      </c>
      <c r="E92" s="132" t="s">
        <v>29</v>
      </c>
      <c r="F92" s="132">
        <v>20000000</v>
      </c>
      <c r="G92" s="132">
        <v>4199559.68</v>
      </c>
      <c r="H92" s="132" t="s">
        <v>288</v>
      </c>
      <c r="I92" s="132"/>
      <c r="J92" s="132"/>
      <c r="K92" s="132" t="s">
        <v>352</v>
      </c>
      <c r="L92" s="111" t="s">
        <v>287</v>
      </c>
      <c r="M92" s="132" t="s">
        <v>29</v>
      </c>
      <c r="N92" s="64">
        <f>4199559.68+12720691.2+1113060.48+1966688.64</f>
        <v>20000000</v>
      </c>
      <c r="O92" s="64">
        <f>N92</f>
        <v>20000000</v>
      </c>
      <c r="P92" s="66" t="s">
        <v>288</v>
      </c>
      <c r="Q92" s="32"/>
      <c r="R92" s="67">
        <f>77849.88+103888.1+413918.01</f>
        <v>595655.99</v>
      </c>
      <c r="S92" s="116">
        <f t="shared" ref="S92:S97" si="7">O92-Q92</f>
        <v>20000000</v>
      </c>
      <c r="T92" s="141" t="s">
        <v>289</v>
      </c>
    </row>
    <row r="93" spans="1:21" s="4" customFormat="1" ht="38.25" customHeight="1" outlineLevel="1" x14ac:dyDescent="0.2">
      <c r="A93" s="525">
        <v>59</v>
      </c>
      <c r="B93" s="526" t="s">
        <v>185</v>
      </c>
      <c r="C93" s="522" t="s">
        <v>186</v>
      </c>
      <c r="D93" s="522"/>
      <c r="E93" s="129" t="s">
        <v>51</v>
      </c>
      <c r="F93" s="129"/>
      <c r="G93" s="129"/>
      <c r="H93" s="129"/>
      <c r="I93" s="129"/>
      <c r="J93" s="129"/>
      <c r="K93" s="529" t="s">
        <v>353</v>
      </c>
      <c r="L93" s="531" t="s">
        <v>187</v>
      </c>
      <c r="M93" s="135" t="s">
        <v>51</v>
      </c>
      <c r="N93" s="60">
        <v>237758.39</v>
      </c>
      <c r="O93" s="32">
        <v>237758.39</v>
      </c>
      <c r="P93" s="38"/>
      <c r="Q93" s="32"/>
      <c r="R93" s="32"/>
      <c r="S93" s="60">
        <f t="shared" si="7"/>
        <v>237758.39</v>
      </c>
      <c r="T93" s="510" t="s">
        <v>76</v>
      </c>
      <c r="U93" s="3"/>
    </row>
    <row r="94" spans="1:21" s="4" customFormat="1" ht="45" customHeight="1" outlineLevel="1" x14ac:dyDescent="0.2">
      <c r="A94" s="525"/>
      <c r="B94" s="527"/>
      <c r="C94" s="528"/>
      <c r="D94" s="528"/>
      <c r="E94" s="127"/>
      <c r="F94" s="127"/>
      <c r="G94" s="127"/>
      <c r="H94" s="127"/>
      <c r="I94" s="127"/>
      <c r="J94" s="127"/>
      <c r="K94" s="530"/>
      <c r="L94" s="530"/>
      <c r="M94" s="47" t="s">
        <v>2</v>
      </c>
      <c r="N94" s="68">
        <v>28883700</v>
      </c>
      <c r="O94" s="32">
        <v>28883700</v>
      </c>
      <c r="P94" s="139"/>
      <c r="Q94" s="32"/>
      <c r="R94" s="32"/>
      <c r="S94" s="60">
        <f t="shared" si="7"/>
        <v>28883700</v>
      </c>
      <c r="T94" s="524"/>
      <c r="U94" s="3"/>
    </row>
    <row r="95" spans="1:21" s="2" customFormat="1" ht="40.5" customHeight="1" outlineLevel="1" x14ac:dyDescent="0.25">
      <c r="A95" s="110">
        <v>60</v>
      </c>
      <c r="B95" s="119" t="s">
        <v>111</v>
      </c>
      <c r="C95" s="111" t="s">
        <v>112</v>
      </c>
      <c r="D95" s="111" t="s">
        <v>113</v>
      </c>
      <c r="E95" s="111"/>
      <c r="F95" s="111"/>
      <c r="G95" s="111"/>
      <c r="H95" s="111"/>
      <c r="I95" s="111"/>
      <c r="J95" s="111"/>
      <c r="K95" s="111" t="s">
        <v>354</v>
      </c>
      <c r="L95" s="111" t="s">
        <v>114</v>
      </c>
      <c r="M95" s="111" t="s">
        <v>2</v>
      </c>
      <c r="N95" s="137">
        <v>303444194</v>
      </c>
      <c r="O95" s="137">
        <v>303444194</v>
      </c>
      <c r="P95" s="139">
        <v>0</v>
      </c>
      <c r="Q95" s="137"/>
      <c r="R95" s="137"/>
      <c r="S95" s="124">
        <f t="shared" si="7"/>
        <v>303444194</v>
      </c>
      <c r="T95" s="141" t="s">
        <v>76</v>
      </c>
      <c r="U95" s="1"/>
    </row>
    <row r="96" spans="1:21" ht="51" customHeight="1" x14ac:dyDescent="0.25">
      <c r="A96" s="132">
        <v>61</v>
      </c>
      <c r="B96" s="131" t="s">
        <v>440</v>
      </c>
      <c r="C96" s="132" t="s">
        <v>441</v>
      </c>
      <c r="D96" s="132" t="s">
        <v>113</v>
      </c>
      <c r="E96" s="132"/>
      <c r="F96" s="132"/>
      <c r="G96" s="132"/>
      <c r="H96" s="132"/>
      <c r="I96" s="132"/>
      <c r="J96" s="132"/>
      <c r="K96" s="132" t="s">
        <v>442</v>
      </c>
      <c r="L96" s="132" t="s">
        <v>443</v>
      </c>
      <c r="M96" s="132" t="s">
        <v>2</v>
      </c>
      <c r="N96" s="32">
        <v>1600000000</v>
      </c>
      <c r="O96" s="40">
        <v>1050000000</v>
      </c>
      <c r="P96" s="100">
        <v>0.06</v>
      </c>
      <c r="Q96" s="40">
        <f>16666667+16666667</f>
        <v>33333334</v>
      </c>
      <c r="R96" s="40">
        <f>14728767+7827397</f>
        <v>22556164</v>
      </c>
      <c r="S96" s="60">
        <f t="shared" si="7"/>
        <v>1016666666</v>
      </c>
      <c r="T96" s="132" t="s">
        <v>444</v>
      </c>
    </row>
    <row r="97" spans="1:22" s="2" customFormat="1" ht="47.25" customHeight="1" outlineLevel="1" x14ac:dyDescent="0.25">
      <c r="A97" s="103">
        <v>62</v>
      </c>
      <c r="B97" s="105" t="s">
        <v>446</v>
      </c>
      <c r="C97" s="105" t="s">
        <v>441</v>
      </c>
      <c r="D97" s="105" t="s">
        <v>113</v>
      </c>
      <c r="E97" s="105"/>
      <c r="F97" s="105"/>
      <c r="G97" s="105"/>
      <c r="H97" s="105"/>
      <c r="I97" s="105"/>
      <c r="J97" s="105"/>
      <c r="K97" s="99" t="s">
        <v>447</v>
      </c>
      <c r="L97" s="105" t="s">
        <v>263</v>
      </c>
      <c r="M97" s="105" t="s">
        <v>2</v>
      </c>
      <c r="N97" s="138">
        <v>2000000000</v>
      </c>
      <c r="O97" s="138">
        <v>2000000000</v>
      </c>
      <c r="P97" s="115">
        <v>1E-4</v>
      </c>
      <c r="Q97" s="138"/>
      <c r="R97" s="138"/>
      <c r="S97" s="126">
        <f t="shared" si="7"/>
        <v>2000000000</v>
      </c>
      <c r="T97" s="145" t="s">
        <v>448</v>
      </c>
      <c r="U97" s="1"/>
    </row>
    <row r="98" spans="1:22" s="2" customFormat="1" ht="47.25" customHeight="1" outlineLevel="1" x14ac:dyDescent="0.25">
      <c r="A98" s="103">
        <v>63</v>
      </c>
      <c r="B98" s="105" t="s">
        <v>188</v>
      </c>
      <c r="C98" s="105" t="s">
        <v>189</v>
      </c>
      <c r="D98" s="105" t="s">
        <v>190</v>
      </c>
      <c r="E98" s="105" t="s">
        <v>51</v>
      </c>
      <c r="F98" s="105"/>
      <c r="G98" s="105"/>
      <c r="H98" s="105"/>
      <c r="I98" s="105"/>
      <c r="J98" s="105"/>
      <c r="K98" s="99" t="s">
        <v>355</v>
      </c>
      <c r="L98" s="105" t="s">
        <v>191</v>
      </c>
      <c r="M98" s="105" t="s">
        <v>51</v>
      </c>
      <c r="N98" s="138">
        <v>10000000</v>
      </c>
      <c r="O98" s="138">
        <v>10000000</v>
      </c>
      <c r="P98" s="115" t="s">
        <v>192</v>
      </c>
      <c r="Q98" s="138">
        <v>2553676.86</v>
      </c>
      <c r="R98" s="138">
        <f>3533579.15874841+18816925/512.41+16022937.4/426.85+37537.63+37130+36723+37538+'[2]15,08,20 գործող'!$I$55+'[2]15,08,20 գործող'!$I$56</f>
        <v>3831843.4704706864</v>
      </c>
      <c r="S98" s="126">
        <f t="shared" si="6"/>
        <v>7446323.1400000006</v>
      </c>
      <c r="T98" s="145" t="s">
        <v>193</v>
      </c>
      <c r="U98" s="1"/>
    </row>
    <row r="99" spans="1:22" s="2" customFormat="1" ht="51" customHeight="1" outlineLevel="1" thickBot="1" x14ac:dyDescent="0.3">
      <c r="A99" s="104">
        <v>64</v>
      </c>
      <c r="B99" s="132" t="s">
        <v>188</v>
      </c>
      <c r="C99" s="132" t="s">
        <v>133</v>
      </c>
      <c r="D99" s="132" t="s">
        <v>190</v>
      </c>
      <c r="E99" s="132"/>
      <c r="F99" s="132"/>
      <c r="G99" s="132"/>
      <c r="H99" s="132"/>
      <c r="I99" s="132"/>
      <c r="J99" s="132"/>
      <c r="K99" s="58" t="s">
        <v>356</v>
      </c>
      <c r="L99" s="132" t="s">
        <v>194</v>
      </c>
      <c r="M99" s="132" t="s">
        <v>2</v>
      </c>
      <c r="N99" s="32">
        <v>8000000000</v>
      </c>
      <c r="O99" s="32">
        <v>8000000000</v>
      </c>
      <c r="P99" s="35" t="s">
        <v>195</v>
      </c>
      <c r="Q99" s="32"/>
      <c r="R99" s="32">
        <f>3496438357+79342466+80657534+79342466+79342466+1315069</f>
        <v>3816438358</v>
      </c>
      <c r="S99" s="116">
        <f>O99-Q99</f>
        <v>8000000000</v>
      </c>
      <c r="T99" s="140" t="s">
        <v>196</v>
      </c>
      <c r="U99" s="1"/>
    </row>
    <row r="100" spans="1:22" s="9" customFormat="1" ht="24.75" customHeight="1" x14ac:dyDescent="0.25">
      <c r="A100" s="496" t="s">
        <v>197</v>
      </c>
      <c r="B100" s="497"/>
      <c r="C100" s="497"/>
      <c r="D100" s="519" t="s">
        <v>29</v>
      </c>
      <c r="E100" s="519"/>
      <c r="F100" s="519"/>
      <c r="G100" s="519"/>
      <c r="H100" s="519"/>
      <c r="I100" s="519"/>
      <c r="J100" s="519"/>
      <c r="K100" s="519"/>
      <c r="L100" s="519"/>
      <c r="M100" s="69"/>
      <c r="N100" s="13">
        <f>SUMIF($M$73:$M$99,D100,$N$73:$N$99)</f>
        <v>41500000</v>
      </c>
      <c r="O100" s="13">
        <f>SUMIF($M$73:$M$99,D100,$O$73:$O$99)</f>
        <v>22503571.57</v>
      </c>
      <c r="P100" s="13"/>
      <c r="Q100" s="13">
        <f>SUMIF($M$73:$M$99,D100,$Q$73:$Q$99)</f>
        <v>29090.971703756208</v>
      </c>
      <c r="R100" s="13">
        <f>SUMIF($M$73:$M$99,D100,$R$73:$R$99)</f>
        <v>779879.60988818214</v>
      </c>
      <c r="S100" s="13">
        <f>SUMIF($M$73:$M$99,D100,$S$73:$S$99)</f>
        <v>22474480.598296244</v>
      </c>
      <c r="T100" s="147"/>
      <c r="U100" s="8"/>
    </row>
    <row r="101" spans="1:22" s="9" customFormat="1" ht="39" customHeight="1" x14ac:dyDescent="0.25">
      <c r="A101" s="485"/>
      <c r="B101" s="486"/>
      <c r="C101" s="486"/>
      <c r="D101" s="503" t="s">
        <v>2</v>
      </c>
      <c r="E101" s="503"/>
      <c r="F101" s="503"/>
      <c r="G101" s="503"/>
      <c r="H101" s="503"/>
      <c r="I101" s="503"/>
      <c r="J101" s="503"/>
      <c r="K101" s="503"/>
      <c r="L101" s="503"/>
      <c r="M101" s="54"/>
      <c r="N101" s="11">
        <f>SUMIF($M$73:$M$99,D101,$N$73:$N$99)</f>
        <v>20540988508.200001</v>
      </c>
      <c r="O101" s="11">
        <f>SUMIF($M$73:$M$99,D101,$O$73:$O$99)</f>
        <v>20117946824</v>
      </c>
      <c r="P101" s="11"/>
      <c r="Q101" s="11">
        <f>SUMIF($M$73:$M$99,D101,$Q$73:$Q$99)</f>
        <v>3576671344.9000001</v>
      </c>
      <c r="R101" s="11">
        <f>SUMIF($M$73:$M$99,D101,$R$73:$R$99)</f>
        <v>3979982610.1799998</v>
      </c>
      <c r="S101" s="11">
        <f>SUMIF($M$73:$M$99,D101,$S$73:$S$99)</f>
        <v>16541275479.1</v>
      </c>
      <c r="T101" s="148"/>
      <c r="U101" s="8"/>
    </row>
    <row r="102" spans="1:22" s="9" customFormat="1" ht="39" customHeight="1" x14ac:dyDescent="0.25">
      <c r="A102" s="485"/>
      <c r="B102" s="486"/>
      <c r="C102" s="486"/>
      <c r="D102" s="503" t="s">
        <v>51</v>
      </c>
      <c r="E102" s="503"/>
      <c r="F102" s="503"/>
      <c r="G102" s="503"/>
      <c r="H102" s="503"/>
      <c r="I102" s="503"/>
      <c r="J102" s="503"/>
      <c r="K102" s="503"/>
      <c r="L102" s="503"/>
      <c r="M102" s="54"/>
      <c r="N102" s="11">
        <f>SUMIF($M$73:$M$99,D102,$N$73:$N$99)</f>
        <v>32967799.48</v>
      </c>
      <c r="O102" s="11">
        <f>SUMIF($M$73:$M$99,D102,$O$73:$O$99)</f>
        <v>29785034.550000001</v>
      </c>
      <c r="P102" s="11"/>
      <c r="Q102" s="11">
        <f>SUMIF($M$73:$M$99,D102,$Q$73:$Q$99)</f>
        <v>9144564.7137413267</v>
      </c>
      <c r="R102" s="11">
        <f>SUMIF($M$73:$M$99,D102,$R$73:$R$99)</f>
        <v>6041930.8274282757</v>
      </c>
      <c r="S102" s="11">
        <f>SUMIF($M$73:$M$99,D102,$S$73:$S$99)</f>
        <v>21232305.970032688</v>
      </c>
      <c r="T102" s="148"/>
      <c r="U102" s="8"/>
    </row>
    <row r="103" spans="1:22" s="9" customFormat="1" ht="39" customHeight="1" thickBot="1" x14ac:dyDescent="0.3">
      <c r="A103" s="506"/>
      <c r="B103" s="507"/>
      <c r="C103" s="507"/>
      <c r="D103" s="520" t="s">
        <v>71</v>
      </c>
      <c r="E103" s="520"/>
      <c r="F103" s="520"/>
      <c r="G103" s="520"/>
      <c r="H103" s="520"/>
      <c r="I103" s="520"/>
      <c r="J103" s="520"/>
      <c r="K103" s="520"/>
      <c r="L103" s="520"/>
      <c r="M103" s="57"/>
      <c r="N103" s="12">
        <f>SUMIF($M$73:$M$99,D103,$N$73:$N$99)</f>
        <v>0</v>
      </c>
      <c r="O103" s="12">
        <f>SUMIF($M$73:$M$99,D103,$O$73:$O$99)</f>
        <v>0</v>
      </c>
      <c r="P103" s="12"/>
      <c r="Q103" s="12">
        <f>SUMIF($M$73:$M$99,D103,$Q$73:$Q$99)</f>
        <v>0</v>
      </c>
      <c r="R103" s="12">
        <f>SUMIF($M$73:$M$99,D103,$R$73:$R$99)</f>
        <v>0</v>
      </c>
      <c r="S103" s="12">
        <f>SUMIF($M$73:$M$99,D103,$S$73:$S$99)</f>
        <v>0</v>
      </c>
      <c r="T103" s="150"/>
      <c r="U103" s="8"/>
    </row>
    <row r="104" spans="1:22" s="4" customFormat="1" ht="156.75" customHeight="1" outlineLevel="1" x14ac:dyDescent="0.2">
      <c r="A104" s="104">
        <v>65</v>
      </c>
      <c r="B104" s="111" t="s">
        <v>0</v>
      </c>
      <c r="C104" s="111" t="s">
        <v>1</v>
      </c>
      <c r="D104" s="111"/>
      <c r="E104" s="127"/>
      <c r="F104" s="127"/>
      <c r="G104" s="127"/>
      <c r="H104" s="127"/>
      <c r="I104" s="127"/>
      <c r="J104" s="127"/>
      <c r="K104" s="113" t="s">
        <v>357</v>
      </c>
      <c r="L104" s="113" t="s">
        <v>198</v>
      </c>
      <c r="M104" s="132" t="s">
        <v>2</v>
      </c>
      <c r="N104" s="68">
        <f>3047000000+3000000000</f>
        <v>6047000000</v>
      </c>
      <c r="O104" s="40">
        <v>6000000000</v>
      </c>
      <c r="P104" s="139"/>
      <c r="Q104" s="40">
        <f>4439902959+260956717.5+995441267.7+73262192.2+103703140+88648827.6+23704487.9</f>
        <v>5985619591.8999996</v>
      </c>
      <c r="R104" s="40"/>
      <c r="S104" s="137">
        <f>O104-Q104</f>
        <v>14380408.100000381</v>
      </c>
      <c r="T104" s="146" t="s">
        <v>76</v>
      </c>
      <c r="U104" s="3"/>
    </row>
    <row r="105" spans="1:22" s="4" customFormat="1" ht="135" outlineLevel="1" x14ac:dyDescent="0.2">
      <c r="A105" s="104">
        <v>66</v>
      </c>
      <c r="B105" s="111" t="s">
        <v>3</v>
      </c>
      <c r="C105" s="111" t="s">
        <v>4</v>
      </c>
      <c r="D105" s="111"/>
      <c r="E105" s="127"/>
      <c r="F105" s="127"/>
      <c r="G105" s="127"/>
      <c r="H105" s="127"/>
      <c r="I105" s="127"/>
      <c r="J105" s="127"/>
      <c r="K105" s="113"/>
      <c r="L105" s="113" t="s">
        <v>369</v>
      </c>
      <c r="M105" s="132" t="s">
        <v>2</v>
      </c>
      <c r="N105" s="32">
        <f>2000000000+7300000000</f>
        <v>9300000000</v>
      </c>
      <c r="O105" s="40">
        <f>9024295000</f>
        <v>9024295000</v>
      </c>
      <c r="P105" s="139"/>
      <c r="Q105" s="13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R105" s="137">
        <f>34040214.6+16030636.8+1797857.1+7375602.5+3983531.1+11814600.3+22459610.6+9668538.8+11671711.4+6908264.6+1329981.6</f>
        <v>127080549.39999999</v>
      </c>
      <c r="S105" s="137">
        <f>O105-Q105</f>
        <v>215230410.79999352</v>
      </c>
      <c r="T105" s="146" t="s">
        <v>76</v>
      </c>
      <c r="U105" s="3"/>
    </row>
    <row r="106" spans="1:22" s="4" customFormat="1" ht="175.5" outlineLevel="1" x14ac:dyDescent="0.2">
      <c r="A106" s="104">
        <v>67</v>
      </c>
      <c r="B106" s="111" t="s">
        <v>3</v>
      </c>
      <c r="C106" s="111" t="s">
        <v>5</v>
      </c>
      <c r="D106" s="111"/>
      <c r="E106" s="127"/>
      <c r="F106" s="127"/>
      <c r="G106" s="127"/>
      <c r="H106" s="127"/>
      <c r="I106" s="127"/>
      <c r="J106" s="127"/>
      <c r="K106" s="113" t="s">
        <v>358</v>
      </c>
      <c r="L106" s="113" t="s">
        <v>6</v>
      </c>
      <c r="M106" s="132" t="s">
        <v>2</v>
      </c>
      <c r="N106" s="32">
        <v>562500000</v>
      </c>
      <c r="O106" s="40">
        <v>562500000</v>
      </c>
      <c r="P106" s="139"/>
      <c r="Q106" s="40"/>
      <c r="R106" s="40"/>
      <c r="S106" s="124">
        <f t="shared" ref="S106:S126" si="8">O106-Q106</f>
        <v>562500000</v>
      </c>
      <c r="T106" s="146" t="s">
        <v>76</v>
      </c>
      <c r="U106" s="3"/>
    </row>
    <row r="107" spans="1:22" s="4" customFormat="1" ht="147" customHeight="1" outlineLevel="1" x14ac:dyDescent="0.2">
      <c r="A107" s="104">
        <v>68</v>
      </c>
      <c r="B107" s="521" t="s">
        <v>0</v>
      </c>
      <c r="C107" s="521" t="s">
        <v>7</v>
      </c>
      <c r="D107" s="111"/>
      <c r="E107" s="127"/>
      <c r="F107" s="127"/>
      <c r="G107" s="127"/>
      <c r="H107" s="127"/>
      <c r="I107" s="127"/>
      <c r="J107" s="127"/>
      <c r="K107" s="113" t="s">
        <v>8</v>
      </c>
      <c r="L107" s="113" t="s">
        <v>9</v>
      </c>
      <c r="M107" s="132" t="s">
        <v>2</v>
      </c>
      <c r="N107" s="32">
        <v>2000000000</v>
      </c>
      <c r="O107" s="40">
        <v>2000000000</v>
      </c>
      <c r="P107" s="38">
        <v>2.7E-2</v>
      </c>
      <c r="Q107" s="40">
        <f>58766719+1052956.2</f>
        <v>59819675.200000003</v>
      </c>
      <c r="R107" s="116">
        <f>68417269.8+13462993.2+49643.9+1421840.5+38566246.5+491534.9+1119195.4+178355+29883.2+10588.6+3022.3</f>
        <v>123750573.30000001</v>
      </c>
      <c r="S107" s="116">
        <f t="shared" si="8"/>
        <v>1940180324.8</v>
      </c>
      <c r="T107" s="146" t="s">
        <v>76</v>
      </c>
      <c r="U107" s="3"/>
    </row>
    <row r="108" spans="1:22" s="4" customFormat="1" ht="144.75" customHeight="1" outlineLevel="1" x14ac:dyDescent="0.2">
      <c r="A108" s="104">
        <v>69</v>
      </c>
      <c r="B108" s="522"/>
      <c r="C108" s="522"/>
      <c r="D108" s="127"/>
      <c r="E108" s="127"/>
      <c r="F108" s="127"/>
      <c r="G108" s="127"/>
      <c r="H108" s="127"/>
      <c r="I108" s="127"/>
      <c r="J108" s="127"/>
      <c r="K108" s="113" t="s">
        <v>10</v>
      </c>
      <c r="L108" s="113" t="s">
        <v>11</v>
      </c>
      <c r="M108" s="105" t="s">
        <v>2</v>
      </c>
      <c r="N108" s="32">
        <v>2000000000</v>
      </c>
      <c r="O108" s="40">
        <v>2000000000</v>
      </c>
      <c r="P108" s="70">
        <v>5.7000000000000002E-2</v>
      </c>
      <c r="Q108" s="40"/>
      <c r="R108" s="40">
        <f>153819379.6+28421448.8+780809.1+528470.5+2614769.3+283790.1+5159868.8+1406739.9</f>
        <v>193015276.10000002</v>
      </c>
      <c r="S108" s="116">
        <f t="shared" si="8"/>
        <v>2000000000</v>
      </c>
      <c r="T108" s="146" t="s">
        <v>76</v>
      </c>
      <c r="U108" s="3"/>
    </row>
    <row r="109" spans="1:22" s="4" customFormat="1" ht="90.75" customHeight="1" outlineLevel="1" thickBot="1" x14ac:dyDescent="0.25">
      <c r="A109" s="71">
        <v>70</v>
      </c>
      <c r="B109" s="523"/>
      <c r="C109" s="523"/>
      <c r="D109" s="72"/>
      <c r="E109" s="73"/>
      <c r="F109" s="73"/>
      <c r="G109" s="73"/>
      <c r="H109" s="73"/>
      <c r="I109" s="73"/>
      <c r="J109" s="73"/>
      <c r="K109" s="113" t="s">
        <v>370</v>
      </c>
      <c r="L109" s="74" t="s">
        <v>199</v>
      </c>
      <c r="M109" s="136" t="s">
        <v>2</v>
      </c>
      <c r="N109" s="75">
        <v>5000000000</v>
      </c>
      <c r="O109" s="76">
        <v>5000000000</v>
      </c>
      <c r="P109" s="77">
        <v>2.7E-2</v>
      </c>
      <c r="Q109" s="76"/>
      <c r="R109" s="76">
        <f>34209157.5+76580313.4+83507353.3+1840160.7</f>
        <v>196136984.89999998</v>
      </c>
      <c r="S109" s="78">
        <f t="shared" si="8"/>
        <v>5000000000</v>
      </c>
      <c r="T109" s="146" t="s">
        <v>76</v>
      </c>
      <c r="U109" s="3"/>
    </row>
    <row r="110" spans="1:22" s="9" customFormat="1" ht="30" customHeight="1" x14ac:dyDescent="0.25">
      <c r="A110" s="483" t="s">
        <v>200</v>
      </c>
      <c r="B110" s="484"/>
      <c r="C110" s="484"/>
      <c r="D110" s="508" t="s">
        <v>29</v>
      </c>
      <c r="E110" s="509"/>
      <c r="F110" s="509"/>
      <c r="G110" s="509"/>
      <c r="H110" s="509"/>
      <c r="I110" s="509"/>
      <c r="J110" s="509"/>
      <c r="K110" s="509"/>
      <c r="L110" s="501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147"/>
      <c r="U110" s="3"/>
      <c r="V110" s="4"/>
    </row>
    <row r="111" spans="1:22" s="9" customFormat="1" ht="27" customHeight="1" x14ac:dyDescent="0.25">
      <c r="A111" s="485"/>
      <c r="B111" s="486"/>
      <c r="C111" s="486"/>
      <c r="D111" s="492" t="s">
        <v>2</v>
      </c>
      <c r="E111" s="481"/>
      <c r="F111" s="481"/>
      <c r="G111" s="481"/>
      <c r="H111" s="481"/>
      <c r="I111" s="481"/>
      <c r="J111" s="481"/>
      <c r="K111" s="481"/>
      <c r="L111" s="4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14854503856.300007</v>
      </c>
      <c r="R111" s="11">
        <f>SUMIF($M$104:$M$109,D111,$R$104:$R$109)</f>
        <v>639983383.70000005</v>
      </c>
      <c r="S111" s="11">
        <f>SUMIF($M$104:$M$109,D111,$S$104:$S$109)</f>
        <v>9732291143.6999931</v>
      </c>
      <c r="T111" s="148"/>
      <c r="U111" s="3"/>
      <c r="V111" s="4"/>
    </row>
    <row r="112" spans="1:22" s="9" customFormat="1" ht="28.5" customHeight="1" x14ac:dyDescent="0.25">
      <c r="A112" s="485"/>
      <c r="B112" s="486"/>
      <c r="C112" s="486"/>
      <c r="D112" s="492" t="s">
        <v>51</v>
      </c>
      <c r="E112" s="481"/>
      <c r="F112" s="481"/>
      <c r="G112" s="481"/>
      <c r="H112" s="481"/>
      <c r="I112" s="481"/>
      <c r="J112" s="481"/>
      <c r="K112" s="481"/>
      <c r="L112" s="4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148"/>
      <c r="U112" s="8"/>
    </row>
    <row r="113" spans="1:21" s="9" customFormat="1" ht="30" customHeight="1" thickBot="1" x14ac:dyDescent="0.3">
      <c r="A113" s="506"/>
      <c r="B113" s="507"/>
      <c r="C113" s="507"/>
      <c r="D113" s="493" t="s">
        <v>71</v>
      </c>
      <c r="E113" s="494"/>
      <c r="F113" s="494"/>
      <c r="G113" s="494"/>
      <c r="H113" s="494"/>
      <c r="I113" s="494"/>
      <c r="J113" s="494"/>
      <c r="K113" s="494"/>
      <c r="L113" s="495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150"/>
      <c r="U113" s="8"/>
    </row>
    <row r="114" spans="1:21" s="4" customFormat="1" ht="121.5" outlineLevel="1" x14ac:dyDescent="0.2">
      <c r="A114" s="103">
        <v>71</v>
      </c>
      <c r="B114" s="134" t="s">
        <v>201</v>
      </c>
      <c r="C114" s="134" t="s">
        <v>202</v>
      </c>
      <c r="D114" s="111"/>
      <c r="E114" s="127"/>
      <c r="F114" s="127"/>
      <c r="G114" s="127"/>
      <c r="H114" s="127"/>
      <c r="I114" s="127"/>
      <c r="J114" s="127"/>
      <c r="K114" s="113" t="s">
        <v>359</v>
      </c>
      <c r="L114" s="113" t="s">
        <v>203</v>
      </c>
      <c r="M114" s="132" t="s">
        <v>2</v>
      </c>
      <c r="N114" s="79">
        <v>574491741</v>
      </c>
      <c r="O114" s="79">
        <v>574491741</v>
      </c>
      <c r="P114" s="123">
        <v>1E-4</v>
      </c>
      <c r="Q114" s="79">
        <f>132575017.2</f>
        <v>132575017.2</v>
      </c>
      <c r="R114" s="79">
        <f>85623+14165+39966.7</f>
        <v>139754.70000000001</v>
      </c>
      <c r="S114" s="125">
        <f t="shared" si="8"/>
        <v>441916723.80000001</v>
      </c>
      <c r="T114" s="151" t="s">
        <v>204</v>
      </c>
      <c r="U114" s="3"/>
    </row>
    <row r="115" spans="1:21" s="4" customFormat="1" ht="121.5" outlineLevel="1" x14ac:dyDescent="0.2">
      <c r="A115" s="104">
        <v>72</v>
      </c>
      <c r="B115" s="119" t="s">
        <v>205</v>
      </c>
      <c r="C115" s="119" t="s">
        <v>202</v>
      </c>
      <c r="D115" s="111"/>
      <c r="E115" s="127"/>
      <c r="F115" s="127"/>
      <c r="G115" s="127"/>
      <c r="H115" s="127"/>
      <c r="I115" s="127"/>
      <c r="J115" s="127"/>
      <c r="K115" s="113" t="s">
        <v>360</v>
      </c>
      <c r="L115" s="113" t="s">
        <v>206</v>
      </c>
      <c r="M115" s="132" t="s">
        <v>2</v>
      </c>
      <c r="N115" s="68">
        <v>98612371</v>
      </c>
      <c r="O115" s="60">
        <v>98612371</v>
      </c>
      <c r="P115" s="114">
        <v>1E-4</v>
      </c>
      <c r="Q115" s="60"/>
      <c r="R115" s="60">
        <v>17060</v>
      </c>
      <c r="S115" s="124">
        <f t="shared" si="8"/>
        <v>98612371</v>
      </c>
      <c r="T115" s="146" t="s">
        <v>207</v>
      </c>
      <c r="U115" s="3"/>
    </row>
    <row r="116" spans="1:21" s="4" customFormat="1" ht="121.5" outlineLevel="1" x14ac:dyDescent="0.2">
      <c r="A116" s="104">
        <v>73</v>
      </c>
      <c r="B116" s="119" t="s">
        <v>208</v>
      </c>
      <c r="C116" s="119" t="s">
        <v>202</v>
      </c>
      <c r="D116" s="111"/>
      <c r="E116" s="127"/>
      <c r="F116" s="127"/>
      <c r="G116" s="127"/>
      <c r="H116" s="127"/>
      <c r="I116" s="127"/>
      <c r="J116" s="127"/>
      <c r="K116" s="113" t="s">
        <v>361</v>
      </c>
      <c r="L116" s="113" t="s">
        <v>209</v>
      </c>
      <c r="M116" s="132" t="s">
        <v>2</v>
      </c>
      <c r="N116" s="68">
        <v>60132468</v>
      </c>
      <c r="O116" s="60">
        <v>60132468</v>
      </c>
      <c r="P116" s="114">
        <v>1E-4</v>
      </c>
      <c r="Q116" s="60">
        <f>4625574.5+4625574.5+4625574.5+4625574.5+4625575+4625575+4625575</f>
        <v>32379023</v>
      </c>
      <c r="R116" s="60">
        <f>10367+1511.2+1400+1500+1500+1000+20000+1000</f>
        <v>38278.199999999997</v>
      </c>
      <c r="S116" s="124">
        <f t="shared" si="8"/>
        <v>27753445</v>
      </c>
      <c r="T116" s="146" t="s">
        <v>210</v>
      </c>
      <c r="U116" s="15"/>
    </row>
    <row r="117" spans="1:21" s="4" customFormat="1" ht="121.5" outlineLevel="1" x14ac:dyDescent="0.2">
      <c r="A117" s="104">
        <v>74</v>
      </c>
      <c r="B117" s="119" t="s">
        <v>211</v>
      </c>
      <c r="C117" s="119" t="s">
        <v>202</v>
      </c>
      <c r="D117" s="111"/>
      <c r="E117" s="127"/>
      <c r="F117" s="127"/>
      <c r="G117" s="127"/>
      <c r="H117" s="127"/>
      <c r="I117" s="127"/>
      <c r="J117" s="127"/>
      <c r="K117" s="113" t="s">
        <v>362</v>
      </c>
      <c r="L117" s="113" t="s">
        <v>212</v>
      </c>
      <c r="M117" s="132" t="s">
        <v>2</v>
      </c>
      <c r="N117" s="32">
        <f>9500000+12453199</f>
        <v>21953199</v>
      </c>
      <c r="O117" s="60">
        <f>9500000+12453199</f>
        <v>21953199</v>
      </c>
      <c r="P117" s="114">
        <v>1E-4</v>
      </c>
      <c r="Q117" s="60"/>
      <c r="R117" s="60">
        <v>3720</v>
      </c>
      <c r="S117" s="124">
        <f t="shared" si="8"/>
        <v>21953199</v>
      </c>
      <c r="T117" s="146" t="s">
        <v>213</v>
      </c>
      <c r="U117" s="15"/>
    </row>
    <row r="118" spans="1:21" s="4" customFormat="1" ht="129.75" customHeight="1" outlineLevel="1" x14ac:dyDescent="0.2">
      <c r="A118" s="104">
        <v>75</v>
      </c>
      <c r="B118" s="119" t="s">
        <v>214</v>
      </c>
      <c r="C118" s="119" t="s">
        <v>202</v>
      </c>
      <c r="D118" s="111"/>
      <c r="E118" s="127"/>
      <c r="F118" s="127"/>
      <c r="G118" s="127"/>
      <c r="H118" s="127"/>
      <c r="I118" s="127"/>
      <c r="J118" s="127"/>
      <c r="K118" s="113" t="s">
        <v>362</v>
      </c>
      <c r="L118" s="113" t="s">
        <v>215</v>
      </c>
      <c r="M118" s="132" t="s">
        <v>2</v>
      </c>
      <c r="N118" s="68">
        <v>15801400</v>
      </c>
      <c r="O118" s="60">
        <v>15801400</v>
      </c>
      <c r="P118" s="114">
        <v>1E-4</v>
      </c>
      <c r="Q118" s="60"/>
      <c r="R118" s="60">
        <v>3500</v>
      </c>
      <c r="S118" s="124">
        <f t="shared" si="8"/>
        <v>15801400</v>
      </c>
      <c r="T118" s="146" t="s">
        <v>216</v>
      </c>
      <c r="U118" s="15"/>
    </row>
    <row r="119" spans="1:21" s="4" customFormat="1" ht="129.75" customHeight="1" outlineLevel="1" x14ac:dyDescent="0.2">
      <c r="A119" s="104">
        <v>76</v>
      </c>
      <c r="B119" s="119" t="s">
        <v>217</v>
      </c>
      <c r="C119" s="119" t="s">
        <v>202</v>
      </c>
      <c r="D119" s="111"/>
      <c r="E119" s="127"/>
      <c r="F119" s="127"/>
      <c r="G119" s="127"/>
      <c r="H119" s="127"/>
      <c r="I119" s="127"/>
      <c r="J119" s="127"/>
      <c r="K119" s="113" t="s">
        <v>362</v>
      </c>
      <c r="L119" s="113" t="s">
        <v>215</v>
      </c>
      <c r="M119" s="132" t="s">
        <v>2</v>
      </c>
      <c r="N119" s="68">
        <v>2554000</v>
      </c>
      <c r="O119" s="60">
        <v>2554000</v>
      </c>
      <c r="P119" s="114">
        <v>1E-4</v>
      </c>
      <c r="Q119" s="60"/>
      <c r="R119" s="60">
        <f>500</f>
        <v>500</v>
      </c>
      <c r="S119" s="124">
        <f t="shared" si="8"/>
        <v>2554000</v>
      </c>
      <c r="T119" s="146" t="s">
        <v>218</v>
      </c>
      <c r="U119" s="15"/>
    </row>
    <row r="120" spans="1:21" s="4" customFormat="1" ht="129.75" customHeight="1" outlineLevel="1" x14ac:dyDescent="0.2">
      <c r="A120" s="104">
        <v>77</v>
      </c>
      <c r="B120" s="119" t="s">
        <v>219</v>
      </c>
      <c r="C120" s="119" t="s">
        <v>202</v>
      </c>
      <c r="D120" s="111"/>
      <c r="E120" s="127"/>
      <c r="F120" s="127"/>
      <c r="G120" s="127"/>
      <c r="H120" s="127"/>
      <c r="I120" s="127"/>
      <c r="J120" s="127"/>
      <c r="K120" s="113" t="s">
        <v>362</v>
      </c>
      <c r="L120" s="113" t="s">
        <v>220</v>
      </c>
      <c r="M120" s="132" t="s">
        <v>2</v>
      </c>
      <c r="N120" s="68">
        <v>29053320</v>
      </c>
      <c r="O120" s="60">
        <v>29053320</v>
      </c>
      <c r="P120" s="114">
        <v>1E-4</v>
      </c>
      <c r="Q120" s="60"/>
      <c r="R120" s="60">
        <f>2000+3000</f>
        <v>5000</v>
      </c>
      <c r="S120" s="124">
        <f t="shared" si="8"/>
        <v>29053320</v>
      </c>
      <c r="T120" s="146" t="s">
        <v>221</v>
      </c>
      <c r="U120" s="15"/>
    </row>
    <row r="121" spans="1:21" s="4" customFormat="1" ht="129.75" customHeight="1" outlineLevel="1" x14ac:dyDescent="0.2">
      <c r="A121" s="104">
        <v>78</v>
      </c>
      <c r="B121" s="119" t="s">
        <v>222</v>
      </c>
      <c r="C121" s="119" t="s">
        <v>202</v>
      </c>
      <c r="D121" s="111"/>
      <c r="E121" s="127"/>
      <c r="F121" s="127"/>
      <c r="G121" s="127"/>
      <c r="H121" s="127"/>
      <c r="I121" s="127"/>
      <c r="J121" s="127"/>
      <c r="K121" s="113" t="s">
        <v>362</v>
      </c>
      <c r="L121" s="113" t="s">
        <v>223</v>
      </c>
      <c r="M121" s="132" t="s">
        <v>2</v>
      </c>
      <c r="N121" s="68">
        <v>192064443</v>
      </c>
      <c r="O121" s="60">
        <f>95000000+97064443</f>
        <v>192064443</v>
      </c>
      <c r="P121" s="114">
        <v>1E-4</v>
      </c>
      <c r="Q121" s="60">
        <f>65000000+20000000</f>
        <v>85000000</v>
      </c>
      <c r="R121" s="60">
        <f>16100+12200+23933</f>
        <v>52233</v>
      </c>
      <c r="S121" s="124">
        <f t="shared" si="8"/>
        <v>107064443</v>
      </c>
      <c r="T121" s="146" t="s">
        <v>224</v>
      </c>
      <c r="U121" s="15"/>
    </row>
    <row r="122" spans="1:21" s="4" customFormat="1" ht="129.75" customHeight="1" outlineLevel="1" x14ac:dyDescent="0.2">
      <c r="A122" s="104">
        <v>79</v>
      </c>
      <c r="B122" s="119" t="s">
        <v>226</v>
      </c>
      <c r="C122" s="119" t="s">
        <v>202</v>
      </c>
      <c r="D122" s="111"/>
      <c r="E122" s="127"/>
      <c r="F122" s="127"/>
      <c r="G122" s="127"/>
      <c r="H122" s="127"/>
      <c r="I122" s="127"/>
      <c r="J122" s="127"/>
      <c r="K122" s="113" t="s">
        <v>362</v>
      </c>
      <c r="L122" s="113" t="s">
        <v>225</v>
      </c>
      <c r="M122" s="132" t="s">
        <v>2</v>
      </c>
      <c r="N122" s="68">
        <v>3469534</v>
      </c>
      <c r="O122" s="60">
        <v>3469534</v>
      </c>
      <c r="P122" s="114">
        <v>1E-4</v>
      </c>
      <c r="Q122" s="60">
        <v>266887</v>
      </c>
      <c r="R122" s="60">
        <f>600+86</f>
        <v>686</v>
      </c>
      <c r="S122" s="124">
        <f t="shared" si="8"/>
        <v>3202647</v>
      </c>
      <c r="T122" s="146" t="s">
        <v>227</v>
      </c>
      <c r="U122" s="15"/>
    </row>
    <row r="123" spans="1:21" s="4" customFormat="1" ht="129.75" customHeight="1" outlineLevel="1" x14ac:dyDescent="0.2">
      <c r="A123" s="104">
        <v>80</v>
      </c>
      <c r="B123" s="119" t="s">
        <v>228</v>
      </c>
      <c r="C123" s="119" t="s">
        <v>202</v>
      </c>
      <c r="D123" s="111"/>
      <c r="E123" s="127"/>
      <c r="F123" s="127"/>
      <c r="G123" s="127"/>
      <c r="H123" s="127"/>
      <c r="I123" s="127"/>
      <c r="J123" s="127"/>
      <c r="K123" s="113" t="s">
        <v>362</v>
      </c>
      <c r="L123" s="113" t="s">
        <v>229</v>
      </c>
      <c r="M123" s="132" t="s">
        <v>2</v>
      </c>
      <c r="N123" s="68">
        <v>11781702</v>
      </c>
      <c r="O123" s="60">
        <v>11781702</v>
      </c>
      <c r="P123" s="114">
        <v>1E-4</v>
      </c>
      <c r="Q123" s="60">
        <f>906285+906285+906285+906285+906285+906285+906285</f>
        <v>6343995</v>
      </c>
      <c r="R123" s="60">
        <f>3000+1500+1500</f>
        <v>6000</v>
      </c>
      <c r="S123" s="124">
        <f t="shared" si="8"/>
        <v>5437707</v>
      </c>
      <c r="T123" s="146" t="s">
        <v>230</v>
      </c>
      <c r="U123" s="15"/>
    </row>
    <row r="124" spans="1:21" s="4" customFormat="1" ht="129.75" customHeight="1" outlineLevel="1" x14ac:dyDescent="0.2">
      <c r="A124" s="104">
        <v>81</v>
      </c>
      <c r="B124" s="119" t="s">
        <v>231</v>
      </c>
      <c r="C124" s="119" t="s">
        <v>202</v>
      </c>
      <c r="D124" s="111"/>
      <c r="E124" s="127"/>
      <c r="F124" s="127"/>
      <c r="G124" s="127"/>
      <c r="H124" s="127"/>
      <c r="I124" s="127"/>
      <c r="J124" s="127"/>
      <c r="K124" s="113" t="s">
        <v>362</v>
      </c>
      <c r="L124" s="113" t="s">
        <v>232</v>
      </c>
      <c r="M124" s="132" t="s">
        <v>2</v>
      </c>
      <c r="N124" s="68">
        <f>112000000+16200000</f>
        <v>128200000</v>
      </c>
      <c r="O124" s="60">
        <f>112000000+16200000</f>
        <v>128200000</v>
      </c>
      <c r="P124" s="114">
        <v>1E-4</v>
      </c>
      <c r="Q124" s="60">
        <f>3000000+3000000+4000000</f>
        <v>10000000</v>
      </c>
      <c r="R124" s="60">
        <f>25640+12820</f>
        <v>38460</v>
      </c>
      <c r="S124" s="124">
        <f t="shared" si="8"/>
        <v>118200000</v>
      </c>
      <c r="T124" s="146" t="s">
        <v>233</v>
      </c>
      <c r="U124" s="15"/>
    </row>
    <row r="125" spans="1:21" s="4" customFormat="1" ht="129.75" customHeight="1" outlineLevel="1" x14ac:dyDescent="0.2">
      <c r="A125" s="104">
        <v>82</v>
      </c>
      <c r="B125" s="119" t="s">
        <v>234</v>
      </c>
      <c r="C125" s="119" t="s">
        <v>202</v>
      </c>
      <c r="D125" s="111"/>
      <c r="E125" s="127"/>
      <c r="F125" s="127"/>
      <c r="G125" s="127"/>
      <c r="H125" s="127"/>
      <c r="I125" s="127"/>
      <c r="J125" s="127"/>
      <c r="K125" s="113" t="s">
        <v>362</v>
      </c>
      <c r="L125" s="113" t="s">
        <v>235</v>
      </c>
      <c r="M125" s="132" t="s">
        <v>2</v>
      </c>
      <c r="N125" s="68">
        <v>26127500</v>
      </c>
      <c r="O125" s="60">
        <v>26127500</v>
      </c>
      <c r="P125" s="114">
        <v>1E-4</v>
      </c>
      <c r="Q125" s="60"/>
      <c r="R125" s="60">
        <f>4530</f>
        <v>4530</v>
      </c>
      <c r="S125" s="124">
        <f t="shared" si="8"/>
        <v>26127500</v>
      </c>
      <c r="T125" s="146" t="s">
        <v>236</v>
      </c>
      <c r="U125" s="15"/>
    </row>
    <row r="126" spans="1:21" s="4" customFormat="1" ht="129.75" customHeight="1" outlineLevel="1" x14ac:dyDescent="0.2">
      <c r="A126" s="104">
        <v>83</v>
      </c>
      <c r="B126" s="119" t="s">
        <v>237</v>
      </c>
      <c r="C126" s="119" t="s">
        <v>202</v>
      </c>
      <c r="D126" s="111"/>
      <c r="E126" s="127"/>
      <c r="F126" s="127"/>
      <c r="G126" s="127"/>
      <c r="H126" s="127"/>
      <c r="I126" s="127"/>
      <c r="J126" s="127"/>
      <c r="K126" s="113" t="s">
        <v>362</v>
      </c>
      <c r="L126" s="113" t="s">
        <v>238</v>
      </c>
      <c r="M126" s="132" t="s">
        <v>2</v>
      </c>
      <c r="N126" s="68">
        <v>19297200</v>
      </c>
      <c r="O126" s="60">
        <f>10800000+3440000+1440000+3617200</f>
        <v>19297200</v>
      </c>
      <c r="P126" s="114">
        <v>1E-4</v>
      </c>
      <c r="Q126" s="60"/>
      <c r="R126" s="60">
        <f>3000</f>
        <v>3000</v>
      </c>
      <c r="S126" s="124">
        <f t="shared" si="8"/>
        <v>19297200</v>
      </c>
      <c r="T126" s="146" t="s">
        <v>239</v>
      </c>
      <c r="U126" s="15"/>
    </row>
    <row r="127" spans="1:21" s="4" customFormat="1" ht="129.75" customHeight="1" outlineLevel="1" x14ac:dyDescent="0.2">
      <c r="A127" s="104">
        <v>84</v>
      </c>
      <c r="B127" s="119" t="s">
        <v>240</v>
      </c>
      <c r="C127" s="119" t="s">
        <v>202</v>
      </c>
      <c r="D127" s="111"/>
      <c r="E127" s="127"/>
      <c r="F127" s="127"/>
      <c r="G127" s="127"/>
      <c r="H127" s="127"/>
      <c r="I127" s="127"/>
      <c r="J127" s="127"/>
      <c r="K127" s="113" t="s">
        <v>362</v>
      </c>
      <c r="L127" s="113" t="s">
        <v>225</v>
      </c>
      <c r="M127" s="132" t="s">
        <v>2</v>
      </c>
      <c r="N127" s="68">
        <v>2164000</v>
      </c>
      <c r="O127" s="60">
        <v>2164000</v>
      </c>
      <c r="P127" s="114">
        <v>1E-4</v>
      </c>
      <c r="Q127" s="60">
        <f>166462+166462+165000+167000+166500+166500</f>
        <v>997924</v>
      </c>
      <c r="R127" s="60">
        <f>370+54.8+100+100+500</f>
        <v>1124.8</v>
      </c>
      <c r="S127" s="124">
        <f>O127-R127</f>
        <v>2162875.2000000002</v>
      </c>
      <c r="T127" s="146" t="s">
        <v>241</v>
      </c>
      <c r="U127" s="15"/>
    </row>
    <row r="128" spans="1:21" s="4" customFormat="1" ht="129.75" customHeight="1" outlineLevel="1" x14ac:dyDescent="0.2">
      <c r="A128" s="104">
        <v>85</v>
      </c>
      <c r="B128" s="119" t="s">
        <v>242</v>
      </c>
      <c r="C128" s="119" t="s">
        <v>202</v>
      </c>
      <c r="D128" s="119"/>
      <c r="E128" s="119"/>
      <c r="F128" s="119"/>
      <c r="G128" s="119"/>
      <c r="H128" s="119"/>
      <c r="I128" s="119"/>
      <c r="J128" s="119"/>
      <c r="K128" s="113" t="s">
        <v>362</v>
      </c>
      <c r="L128" s="113" t="s">
        <v>243</v>
      </c>
      <c r="M128" s="132" t="s">
        <v>2</v>
      </c>
      <c r="N128" s="68">
        <v>253504102</v>
      </c>
      <c r="O128" s="60">
        <v>253504102</v>
      </c>
      <c r="P128" s="114">
        <v>1E-4</v>
      </c>
      <c r="Q128" s="60">
        <f>19500316+19500316+19500315+19500315+19500315+19500315</f>
        <v>117001892</v>
      </c>
      <c r="R128" s="60">
        <f>5973+6390+6181+6389+6181.4+6390+6390+6390+6389+5407+7015+5059.2+9482.9</f>
        <v>83637.499999999985</v>
      </c>
      <c r="S128" s="124">
        <f t="shared" ref="S128:S137" si="9">O128-Q128</f>
        <v>136502210</v>
      </c>
      <c r="T128" s="146" t="s">
        <v>244</v>
      </c>
      <c r="U128" s="15"/>
    </row>
    <row r="129" spans="1:21" s="4" customFormat="1" ht="129.75" customHeight="1" outlineLevel="1" x14ac:dyDescent="0.2">
      <c r="A129" s="104">
        <v>86</v>
      </c>
      <c r="B129" s="119" t="s">
        <v>245</v>
      </c>
      <c r="C129" s="119" t="s">
        <v>202</v>
      </c>
      <c r="D129" s="111"/>
      <c r="E129" s="127"/>
      <c r="F129" s="127"/>
      <c r="G129" s="127"/>
      <c r="H129" s="127"/>
      <c r="I129" s="127"/>
      <c r="J129" s="127"/>
      <c r="K129" s="113" t="s">
        <v>362</v>
      </c>
      <c r="L129" s="113" t="s">
        <v>243</v>
      </c>
      <c r="M129" s="132" t="s">
        <v>2</v>
      </c>
      <c r="N129" s="68">
        <v>76200000</v>
      </c>
      <c r="O129" s="60">
        <v>76200000</v>
      </c>
      <c r="P129" s="114">
        <v>1E-4</v>
      </c>
      <c r="Q129" s="60"/>
      <c r="R129" s="60">
        <f>7620+5520</f>
        <v>13140</v>
      </c>
      <c r="S129" s="124">
        <f t="shared" si="9"/>
        <v>76200000</v>
      </c>
      <c r="T129" s="146" t="s">
        <v>246</v>
      </c>
      <c r="U129" s="15"/>
    </row>
    <row r="130" spans="1:21" s="4" customFormat="1" ht="121.5" outlineLevel="1" x14ac:dyDescent="0.2">
      <c r="A130" s="104">
        <v>87</v>
      </c>
      <c r="B130" s="119" t="s">
        <v>247</v>
      </c>
      <c r="C130" s="119" t="s">
        <v>202</v>
      </c>
      <c r="D130" s="111"/>
      <c r="E130" s="127"/>
      <c r="F130" s="127"/>
      <c r="G130" s="127"/>
      <c r="H130" s="127"/>
      <c r="I130" s="127"/>
      <c r="J130" s="127"/>
      <c r="K130" s="113" t="s">
        <v>362</v>
      </c>
      <c r="L130" s="113" t="s">
        <v>248</v>
      </c>
      <c r="M130" s="132" t="s">
        <v>2</v>
      </c>
      <c r="N130" s="68">
        <v>50613970</v>
      </c>
      <c r="O130" s="60">
        <v>50613970</v>
      </c>
      <c r="P130" s="114">
        <v>1E-4</v>
      </c>
      <c r="Q130" s="60"/>
      <c r="R130" s="60">
        <f>8800+8800</f>
        <v>17600</v>
      </c>
      <c r="S130" s="124">
        <f t="shared" si="9"/>
        <v>50613970</v>
      </c>
      <c r="T130" s="146" t="s">
        <v>249</v>
      </c>
      <c r="U130" s="15"/>
    </row>
    <row r="131" spans="1:21" s="4" customFormat="1" ht="121.5" outlineLevel="1" x14ac:dyDescent="0.2">
      <c r="A131" s="104">
        <v>88</v>
      </c>
      <c r="B131" s="119" t="s">
        <v>250</v>
      </c>
      <c r="C131" s="119" t="s">
        <v>202</v>
      </c>
      <c r="D131" s="111"/>
      <c r="E131" s="127"/>
      <c r="F131" s="127"/>
      <c r="G131" s="127"/>
      <c r="H131" s="127"/>
      <c r="I131" s="127"/>
      <c r="J131" s="127"/>
      <c r="K131" s="113" t="s">
        <v>362</v>
      </c>
      <c r="L131" s="113" t="s">
        <v>251</v>
      </c>
      <c r="M131" s="132" t="s">
        <v>2</v>
      </c>
      <c r="N131" s="68">
        <v>184740000</v>
      </c>
      <c r="O131" s="60">
        <v>184740000</v>
      </c>
      <c r="P131" s="114">
        <v>1E-4</v>
      </c>
      <c r="Q131" s="60"/>
      <c r="R131" s="60">
        <f>31700</f>
        <v>31700</v>
      </c>
      <c r="S131" s="124">
        <f t="shared" si="9"/>
        <v>184740000</v>
      </c>
      <c r="T131" s="146" t="s">
        <v>252</v>
      </c>
      <c r="U131" s="15"/>
    </row>
    <row r="132" spans="1:21" s="4" customFormat="1" ht="121.5" outlineLevel="1" x14ac:dyDescent="0.2">
      <c r="A132" s="104">
        <v>89</v>
      </c>
      <c r="B132" s="119" t="s">
        <v>253</v>
      </c>
      <c r="C132" s="119" t="s">
        <v>202</v>
      </c>
      <c r="D132" s="111"/>
      <c r="E132" s="127"/>
      <c r="F132" s="127"/>
      <c r="G132" s="127"/>
      <c r="H132" s="127"/>
      <c r="I132" s="127"/>
      <c r="J132" s="127"/>
      <c r="K132" s="113" t="s">
        <v>362</v>
      </c>
      <c r="L132" s="113" t="s">
        <v>254</v>
      </c>
      <c r="M132" s="132" t="s">
        <v>2</v>
      </c>
      <c r="N132" s="68">
        <v>219559596</v>
      </c>
      <c r="O132" s="60">
        <v>219559596</v>
      </c>
      <c r="P132" s="114">
        <v>1E-4</v>
      </c>
      <c r="Q132" s="60">
        <f>16889200+16889200+185781196</f>
        <v>219559596</v>
      </c>
      <c r="R132" s="60">
        <f>5294+5294+27550+5533+1000</f>
        <v>44671</v>
      </c>
      <c r="S132" s="124">
        <f t="shared" si="9"/>
        <v>0</v>
      </c>
      <c r="T132" s="146" t="s">
        <v>438</v>
      </c>
      <c r="U132" s="15"/>
    </row>
    <row r="133" spans="1:21" s="4" customFormat="1" ht="121.5" outlineLevel="1" x14ac:dyDescent="0.2">
      <c r="A133" s="104">
        <v>90</v>
      </c>
      <c r="B133" s="119" t="s">
        <v>255</v>
      </c>
      <c r="C133" s="119" t="s">
        <v>202</v>
      </c>
      <c r="D133" s="111"/>
      <c r="E133" s="127"/>
      <c r="F133" s="127"/>
      <c r="G133" s="127"/>
      <c r="H133" s="127"/>
      <c r="I133" s="127"/>
      <c r="J133" s="127"/>
      <c r="K133" s="113" t="s">
        <v>362</v>
      </c>
      <c r="L133" s="113" t="s">
        <v>251</v>
      </c>
      <c r="M133" s="132" t="s">
        <v>2</v>
      </c>
      <c r="N133" s="68">
        <v>29081500</v>
      </c>
      <c r="O133" s="60">
        <v>29081500</v>
      </c>
      <c r="P133" s="114">
        <v>1E-4</v>
      </c>
      <c r="Q133" s="60"/>
      <c r="R133" s="60">
        <f>1000+4000+3000+1000</f>
        <v>9000</v>
      </c>
      <c r="S133" s="124">
        <f t="shared" si="9"/>
        <v>29081500</v>
      </c>
      <c r="T133" s="146" t="s">
        <v>256</v>
      </c>
      <c r="U133" s="15"/>
    </row>
    <row r="134" spans="1:21" s="4" customFormat="1" ht="123" customHeight="1" outlineLevel="1" x14ac:dyDescent="0.2">
      <c r="A134" s="104">
        <v>91</v>
      </c>
      <c r="B134" s="119" t="s">
        <v>257</v>
      </c>
      <c r="C134" s="119" t="s">
        <v>202</v>
      </c>
      <c r="D134" s="111"/>
      <c r="E134" s="127"/>
      <c r="F134" s="127"/>
      <c r="G134" s="127"/>
      <c r="H134" s="127"/>
      <c r="I134" s="127"/>
      <c r="J134" s="127"/>
      <c r="K134" s="113" t="s">
        <v>362</v>
      </c>
      <c r="L134" s="113" t="s">
        <v>258</v>
      </c>
      <c r="M134" s="132" t="s">
        <v>2</v>
      </c>
      <c r="N134" s="68">
        <v>12060940</v>
      </c>
      <c r="O134" s="79">
        <v>12060940</v>
      </c>
      <c r="P134" s="114">
        <v>1E-4</v>
      </c>
      <c r="Q134" s="60"/>
      <c r="R134" s="60">
        <v>2170</v>
      </c>
      <c r="S134" s="124">
        <f t="shared" si="9"/>
        <v>12060940</v>
      </c>
      <c r="T134" s="146" t="s">
        <v>259</v>
      </c>
      <c r="U134" s="15"/>
    </row>
    <row r="135" spans="1:21" s="4" customFormat="1" ht="32.25" customHeight="1" outlineLevel="1" x14ac:dyDescent="0.2">
      <c r="A135" s="104">
        <v>92</v>
      </c>
      <c r="B135" s="510" t="s">
        <v>456</v>
      </c>
      <c r="C135" s="511"/>
      <c r="D135" s="511"/>
      <c r="E135" s="511"/>
      <c r="F135" s="511"/>
      <c r="G135" s="511"/>
      <c r="H135" s="511"/>
      <c r="I135" s="511"/>
      <c r="J135" s="511"/>
      <c r="K135" s="512"/>
      <c r="L135" s="132" t="s">
        <v>457</v>
      </c>
      <c r="M135" s="132" t="s">
        <v>2</v>
      </c>
      <c r="N135" s="32">
        <v>1000000000</v>
      </c>
      <c r="O135" s="32">
        <v>1000000000</v>
      </c>
      <c r="P135" s="62"/>
      <c r="Q135" s="32"/>
      <c r="R135" s="32"/>
      <c r="S135" s="116">
        <f t="shared" si="9"/>
        <v>1000000000</v>
      </c>
      <c r="T135" s="140"/>
      <c r="U135" s="15"/>
    </row>
    <row r="136" spans="1:21" s="4" customFormat="1" ht="32.25" customHeight="1" outlineLevel="1" x14ac:dyDescent="0.2">
      <c r="A136" s="104">
        <v>93</v>
      </c>
      <c r="B136" s="513"/>
      <c r="C136" s="514"/>
      <c r="D136" s="514"/>
      <c r="E136" s="514"/>
      <c r="F136" s="514"/>
      <c r="G136" s="514"/>
      <c r="H136" s="514"/>
      <c r="I136" s="514"/>
      <c r="J136" s="514"/>
      <c r="K136" s="515"/>
      <c r="L136" s="132" t="s">
        <v>458</v>
      </c>
      <c r="M136" s="132" t="s">
        <v>2</v>
      </c>
      <c r="N136" s="137">
        <v>750000000</v>
      </c>
      <c r="O136" s="32">
        <v>750000000</v>
      </c>
      <c r="P136" s="66">
        <v>0.05</v>
      </c>
      <c r="Q136" s="32">
        <v>34125868.899999999</v>
      </c>
      <c r="R136" s="32">
        <f>18833145+17847821</f>
        <v>36680966</v>
      </c>
      <c r="S136" s="116">
        <f t="shared" si="9"/>
        <v>715874131.10000002</v>
      </c>
      <c r="T136" s="141"/>
      <c r="U136" s="15"/>
    </row>
    <row r="137" spans="1:21" s="4" customFormat="1" ht="27" outlineLevel="1" x14ac:dyDescent="0.2">
      <c r="A137" s="104">
        <v>94</v>
      </c>
      <c r="B137" s="513"/>
      <c r="C137" s="514"/>
      <c r="D137" s="514"/>
      <c r="E137" s="514"/>
      <c r="F137" s="514"/>
      <c r="G137" s="514"/>
      <c r="H137" s="514"/>
      <c r="I137" s="514"/>
      <c r="J137" s="514"/>
      <c r="K137" s="515"/>
      <c r="L137" s="132" t="s">
        <v>459</v>
      </c>
      <c r="M137" s="132" t="s">
        <v>2</v>
      </c>
      <c r="N137" s="64">
        <v>15000000000</v>
      </c>
      <c r="O137" s="32">
        <v>15000000000</v>
      </c>
      <c r="P137" s="66">
        <v>0.115</v>
      </c>
      <c r="Q137" s="32">
        <f>3720016988+5279983000</f>
        <v>8999999988</v>
      </c>
      <c r="R137" s="32">
        <f>3370287993.6+85295214+22726326+29089436+33479452+24919706+27037427+32410959+90000000+78736184+85295214+84368092</f>
        <v>3963646003.5999999</v>
      </c>
      <c r="S137" s="116">
        <f t="shared" si="9"/>
        <v>6000000012</v>
      </c>
      <c r="T137" s="141" t="s">
        <v>76</v>
      </c>
      <c r="U137" s="15"/>
    </row>
    <row r="138" spans="1:21" s="2" customFormat="1" ht="33" customHeight="1" outlineLevel="1" thickBot="1" x14ac:dyDescent="0.3">
      <c r="A138" s="104">
        <v>95</v>
      </c>
      <c r="B138" s="516"/>
      <c r="C138" s="517"/>
      <c r="D138" s="517"/>
      <c r="E138" s="517"/>
      <c r="F138" s="517"/>
      <c r="G138" s="517"/>
      <c r="H138" s="517"/>
      <c r="I138" s="517"/>
      <c r="J138" s="517"/>
      <c r="K138" s="518"/>
      <c r="L138" s="132" t="s">
        <v>460</v>
      </c>
      <c r="M138" s="132" t="s">
        <v>2</v>
      </c>
      <c r="N138" s="40">
        <v>60235505470</v>
      </c>
      <c r="O138" s="40">
        <v>60235505470</v>
      </c>
      <c r="P138" s="100">
        <v>1.7500000000000002E-2</v>
      </c>
      <c r="Q138" s="60">
        <f>3183233220+212876480+215918030+213513700+216535610+214152800+214471030+217463440+215112920+219846551+222811203+220495152+223439815+221362202</f>
        <v>6011232153</v>
      </c>
      <c r="R138" s="60">
        <f>1286100840+85079124+82037574+84441904+81419994+83802804+83484574+80492164+82842684+79870064+82516966+81963767+74281621+82240367+79275714+81591765+78647103+80724716</f>
        <v>2670813745</v>
      </c>
      <c r="S138" s="116">
        <f>O138-Q138</f>
        <v>54224273317</v>
      </c>
      <c r="T138" s="140"/>
      <c r="U138" s="1"/>
    </row>
    <row r="139" spans="1:21" s="9" customFormat="1" ht="30" customHeight="1" x14ac:dyDescent="0.25">
      <c r="A139" s="483" t="s">
        <v>437</v>
      </c>
      <c r="B139" s="484"/>
      <c r="C139" s="484"/>
      <c r="D139" s="489" t="s">
        <v>29</v>
      </c>
      <c r="E139" s="490"/>
      <c r="F139" s="490"/>
      <c r="G139" s="490"/>
      <c r="H139" s="490"/>
      <c r="I139" s="490"/>
      <c r="J139" s="490"/>
      <c r="K139" s="490"/>
      <c r="L139" s="491"/>
      <c r="M139" s="101"/>
      <c r="N139" s="10">
        <f>SUMIF($M$114:$M$138,D139,$N$114:$N$138)</f>
        <v>0</v>
      </c>
      <c r="O139" s="13">
        <f>SUMIF($M$104:$M$138,D139,$O$104:$O$138)</f>
        <v>0</v>
      </c>
      <c r="P139" s="13"/>
      <c r="Q139" s="11">
        <f>SUMIF($M$114:$M$138,D139,$Q$114:$Q$138)</f>
        <v>0</v>
      </c>
      <c r="R139" s="13">
        <f>SUMIF($M$104:$M$138,D139,$R$104:$R$138)</f>
        <v>0</v>
      </c>
      <c r="S139" s="13">
        <f>SUMIF($M$104:$M$138,D139,$S$104:$S$138)</f>
        <v>0</v>
      </c>
      <c r="T139" s="147"/>
      <c r="U139" s="8"/>
    </row>
    <row r="140" spans="1:21" s="9" customFormat="1" ht="27" customHeight="1" x14ac:dyDescent="0.25">
      <c r="A140" s="485"/>
      <c r="B140" s="486"/>
      <c r="C140" s="486"/>
      <c r="D140" s="492" t="s">
        <v>2</v>
      </c>
      <c r="E140" s="481"/>
      <c r="F140" s="481"/>
      <c r="G140" s="481"/>
      <c r="H140" s="481"/>
      <c r="I140" s="481"/>
      <c r="J140" s="481"/>
      <c r="K140" s="481"/>
      <c r="L140" s="482"/>
      <c r="M140" s="54"/>
      <c r="N140" s="11">
        <f>SUMIF($M$114:$M$138,D140,$N$114:$N$138)</f>
        <v>78996968456</v>
      </c>
      <c r="O140" s="11">
        <f>SUMIF($M$114:$M$138,D140,$O$114:$O$138)</f>
        <v>78996968456</v>
      </c>
      <c r="P140" s="11"/>
      <c r="Q140" s="11">
        <f>SUMIF($M$114:$M$138,D140,$Q$114:$Q$138)</f>
        <v>15649482344.1</v>
      </c>
      <c r="R140" s="11">
        <f>SUMIF($M$114:$M$138,D140,$R$114:$R$138)</f>
        <v>6671656479.7999992</v>
      </c>
      <c r="S140" s="11">
        <f>SUMIF($M$114:$M$138,D140,$S$114:$S$138)</f>
        <v>63348482911.099998</v>
      </c>
      <c r="T140" s="148"/>
      <c r="U140" s="8"/>
    </row>
    <row r="141" spans="1:21" s="9" customFormat="1" ht="28.5" customHeight="1" x14ac:dyDescent="0.25">
      <c r="A141" s="485"/>
      <c r="B141" s="486"/>
      <c r="C141" s="486"/>
      <c r="D141" s="492" t="s">
        <v>51</v>
      </c>
      <c r="E141" s="481"/>
      <c r="F141" s="481"/>
      <c r="G141" s="481"/>
      <c r="H141" s="481"/>
      <c r="I141" s="481"/>
      <c r="J141" s="481"/>
      <c r="K141" s="481"/>
      <c r="L141" s="482"/>
      <c r="M141" s="54"/>
      <c r="N141" s="11">
        <f>SUMIF($M$114:$M$138,D141,$N$114:$N$138)</f>
        <v>0</v>
      </c>
      <c r="O141" s="11">
        <f>SUMIF($M$104:$M$138,D141,$O$104:$O$138)</f>
        <v>0</v>
      </c>
      <c r="P141" s="11"/>
      <c r="Q141" s="11">
        <f>SUMIF($M$104:$M$138,D141,$Q$104:$Q$138)</f>
        <v>0</v>
      </c>
      <c r="R141" s="11">
        <f>SUMIF($M$104:$M$138,D141,$R$104:$R$138)</f>
        <v>0</v>
      </c>
      <c r="S141" s="11">
        <f>SUMIF($M$104:$M$138,D141,$S$104:$S$138)</f>
        <v>0</v>
      </c>
      <c r="T141" s="148"/>
      <c r="U141" s="8"/>
    </row>
    <row r="142" spans="1:21" s="9" customFormat="1" ht="30" customHeight="1" thickBot="1" x14ac:dyDescent="0.3">
      <c r="A142" s="487"/>
      <c r="B142" s="488"/>
      <c r="C142" s="488"/>
      <c r="D142" s="493" t="s">
        <v>71</v>
      </c>
      <c r="E142" s="494"/>
      <c r="F142" s="494"/>
      <c r="G142" s="494"/>
      <c r="H142" s="494"/>
      <c r="I142" s="494"/>
      <c r="J142" s="494"/>
      <c r="K142" s="494"/>
      <c r="L142" s="495"/>
      <c r="M142" s="57"/>
      <c r="N142" s="12">
        <f>SUMIF($M$114:$M$138,D142,$N$114:$N$138)</f>
        <v>0</v>
      </c>
      <c r="O142" s="12">
        <f>SUMIF($M$104:$M$138,D142,$O$104:$O$138)</f>
        <v>0</v>
      </c>
      <c r="P142" s="12"/>
      <c r="Q142" s="12">
        <f>SUMIF($M$104:$M$138,D142,$Q$104:$Q$138)</f>
        <v>0</v>
      </c>
      <c r="R142" s="12">
        <f>SUMIF($M$104:$M$138,D142,$R$104:$R$138)</f>
        <v>0</v>
      </c>
      <c r="S142" s="12">
        <f>SUMIF($M$104:$M$138,D142,$S$104:$S$138)</f>
        <v>0</v>
      </c>
      <c r="T142" s="150"/>
      <c r="U142" s="8"/>
    </row>
    <row r="143" spans="1:21" s="9" customFormat="1" ht="15.75" customHeight="1" x14ac:dyDescent="0.25">
      <c r="A143" s="496" t="s">
        <v>260</v>
      </c>
      <c r="B143" s="497"/>
      <c r="C143" s="498"/>
      <c r="D143" s="501" t="s">
        <v>29</v>
      </c>
      <c r="E143" s="502"/>
      <c r="F143" s="502"/>
      <c r="G143" s="502"/>
      <c r="H143" s="502"/>
      <c r="I143" s="502"/>
      <c r="J143" s="502"/>
      <c r="K143" s="502"/>
      <c r="L143" s="502"/>
      <c r="M143" s="80"/>
      <c r="N143" s="14">
        <f t="shared" ref="N143:S146" si="10">N47+N58+N69+N100+N110+N139</f>
        <v>340755742.28000003</v>
      </c>
      <c r="O143" s="14">
        <f t="shared" si="10"/>
        <v>141932627.11000001</v>
      </c>
      <c r="P143" s="14">
        <f t="shared" si="10"/>
        <v>0</v>
      </c>
      <c r="Q143" s="14">
        <f t="shared" si="10"/>
        <v>50627856.139612287</v>
      </c>
      <c r="R143" s="14">
        <f t="shared" si="10"/>
        <v>19389223.196404777</v>
      </c>
      <c r="S143" s="14">
        <f t="shared" si="10"/>
        <v>91304770.970387712</v>
      </c>
      <c r="T143" s="152"/>
      <c r="U143" s="8"/>
    </row>
    <row r="144" spans="1:21" s="9" customFormat="1" ht="17.25" customHeight="1" x14ac:dyDescent="0.25">
      <c r="A144" s="485"/>
      <c r="B144" s="486"/>
      <c r="C144" s="499"/>
      <c r="D144" s="482" t="s">
        <v>2</v>
      </c>
      <c r="E144" s="503"/>
      <c r="F144" s="503"/>
      <c r="G144" s="503"/>
      <c r="H144" s="503"/>
      <c r="I144" s="503"/>
      <c r="J144" s="503"/>
      <c r="K144" s="503"/>
      <c r="L144" s="503"/>
      <c r="M144" s="80"/>
      <c r="N144" s="14">
        <f t="shared" si="10"/>
        <v>255468393210.10001</v>
      </c>
      <c r="O144" s="14">
        <f t="shared" si="10"/>
        <v>273808808212.10999</v>
      </c>
      <c r="P144" s="14">
        <f t="shared" si="10"/>
        <v>0</v>
      </c>
      <c r="Q144" s="14">
        <f t="shared" si="10"/>
        <v>114699049227.04472</v>
      </c>
      <c r="R144" s="14">
        <f t="shared" si="10"/>
        <v>54414713944.669479</v>
      </c>
      <c r="S144" s="14">
        <f t="shared" si="10"/>
        <v>159110755784.26529</v>
      </c>
      <c r="T144" s="148"/>
      <c r="U144" s="8"/>
    </row>
    <row r="145" spans="1:21" s="9" customFormat="1" ht="15" customHeight="1" x14ac:dyDescent="0.25">
      <c r="A145" s="485"/>
      <c r="B145" s="486"/>
      <c r="C145" s="499"/>
      <c r="D145" s="482" t="s">
        <v>51</v>
      </c>
      <c r="E145" s="503"/>
      <c r="F145" s="503"/>
      <c r="G145" s="503"/>
      <c r="H145" s="503"/>
      <c r="I145" s="503"/>
      <c r="J145" s="503"/>
      <c r="K145" s="503"/>
      <c r="L145" s="503"/>
      <c r="M145" s="54"/>
      <c r="N145" s="14">
        <f t="shared" si="10"/>
        <v>481140620.32000005</v>
      </c>
      <c r="O145" s="14">
        <f t="shared" si="10"/>
        <v>361352417.42000002</v>
      </c>
      <c r="P145" s="14">
        <f t="shared" si="10"/>
        <v>0</v>
      </c>
      <c r="Q145" s="14">
        <f t="shared" si="10"/>
        <v>115381872.29957025</v>
      </c>
      <c r="R145" s="14">
        <f t="shared" si="10"/>
        <v>62407926.380864896</v>
      </c>
      <c r="S145" s="14">
        <f t="shared" si="10"/>
        <v>246562381.25420377</v>
      </c>
      <c r="T145" s="148"/>
      <c r="U145" s="8"/>
    </row>
    <row r="146" spans="1:21" s="9" customFormat="1" ht="25.5" customHeight="1" x14ac:dyDescent="0.25">
      <c r="A146" s="487"/>
      <c r="B146" s="488"/>
      <c r="C146" s="500"/>
      <c r="D146" s="504" t="s">
        <v>71</v>
      </c>
      <c r="E146" s="505"/>
      <c r="F146" s="505"/>
      <c r="G146" s="505"/>
      <c r="H146" s="505"/>
      <c r="I146" s="505"/>
      <c r="J146" s="505"/>
      <c r="K146" s="505"/>
      <c r="L146" s="505"/>
      <c r="M146" s="55"/>
      <c r="N146" s="14">
        <f t="shared" si="10"/>
        <v>31777311969</v>
      </c>
      <c r="O146" s="14">
        <f t="shared" si="10"/>
        <v>31859249643</v>
      </c>
      <c r="P146" s="14">
        <f t="shared" si="10"/>
        <v>0</v>
      </c>
      <c r="Q146" s="14">
        <f t="shared" si="10"/>
        <v>11608502507.734192</v>
      </c>
      <c r="R146" s="14">
        <f t="shared" si="10"/>
        <v>3488879860.0944376</v>
      </c>
      <c r="S146" s="14">
        <f t="shared" si="10"/>
        <v>20250747135.265808</v>
      </c>
      <c r="T146" s="149"/>
      <c r="U146" s="8"/>
    </row>
    <row r="147" spans="1:21" s="9" customFormat="1" ht="15" customHeight="1" thickBot="1" x14ac:dyDescent="0.3">
      <c r="A147" s="487"/>
      <c r="B147" s="488"/>
      <c r="C147" s="500"/>
      <c r="D147" s="480" t="s">
        <v>61</v>
      </c>
      <c r="E147" s="481"/>
      <c r="F147" s="481"/>
      <c r="G147" s="481"/>
      <c r="H147" s="481"/>
      <c r="I147" s="481"/>
      <c r="J147" s="481"/>
      <c r="K147" s="481"/>
      <c r="L147" s="482"/>
      <c r="M147" s="55"/>
      <c r="N147" s="14">
        <f>N51</f>
        <v>24086688</v>
      </c>
      <c r="O147" s="14">
        <f t="shared" ref="O147:S147" si="11">O51</f>
        <v>18384172.012149811</v>
      </c>
      <c r="P147" s="14">
        <f t="shared" si="11"/>
        <v>0</v>
      </c>
      <c r="Q147" s="14">
        <f t="shared" si="11"/>
        <v>3889303.4021576373</v>
      </c>
      <c r="R147" s="14">
        <f t="shared" si="11"/>
        <v>2687639.4595199237</v>
      </c>
      <c r="S147" s="14">
        <f t="shared" si="11"/>
        <v>14494868.609992173</v>
      </c>
      <c r="T147" s="149"/>
      <c r="U147" s="8"/>
    </row>
    <row r="148" spans="1:21" ht="51" customHeight="1" thickBot="1" x14ac:dyDescent="0.3">
      <c r="A148" s="81">
        <v>96</v>
      </c>
      <c r="B148" s="82" t="s">
        <v>261</v>
      </c>
      <c r="C148" s="83" t="s">
        <v>262</v>
      </c>
      <c r="D148" s="83" t="s">
        <v>113</v>
      </c>
      <c r="E148" s="83"/>
      <c r="F148" s="83"/>
      <c r="G148" s="83"/>
      <c r="H148" s="83"/>
      <c r="I148" s="83"/>
      <c r="J148" s="83"/>
      <c r="K148" s="83" t="s">
        <v>363</v>
      </c>
      <c r="L148" s="83" t="s">
        <v>263</v>
      </c>
      <c r="M148" s="83" t="s">
        <v>2</v>
      </c>
      <c r="N148" s="84">
        <f>834800635300+144000000000+32000000000+132000000000+3500000000+14000000000+2900000000+4000000000</f>
        <v>1167200635300</v>
      </c>
      <c r="O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8" s="102">
        <v>1E-4</v>
      </c>
      <c r="Q148" s="85"/>
      <c r="R148" s="85"/>
      <c r="S148" s="86">
        <f>O148-Q148</f>
        <v>1161789822801.3999</v>
      </c>
      <c r="T148" s="153" t="s">
        <v>76</v>
      </c>
    </row>
    <row r="149" spans="1:21" ht="17.25" x14ac:dyDescent="0.3">
      <c r="B149" s="87" t="s">
        <v>2</v>
      </c>
      <c r="C149" s="88"/>
      <c r="M149" s="90"/>
      <c r="N149" s="16"/>
      <c r="O149" s="16"/>
      <c r="S149" s="92"/>
      <c r="T149" s="18"/>
    </row>
    <row r="150" spans="1:21" ht="17.25" x14ac:dyDescent="0.3">
      <c r="B150" s="87" t="s">
        <v>51</v>
      </c>
      <c r="C150" s="88">
        <v>403.96</v>
      </c>
      <c r="N150" s="16"/>
      <c r="O150" s="17"/>
      <c r="P150" s="93"/>
      <c r="R150" s="16"/>
      <c r="S150" s="94"/>
      <c r="T150" s="95"/>
    </row>
    <row r="151" spans="1:21" ht="17.25" x14ac:dyDescent="0.3">
      <c r="B151" s="87" t="s">
        <v>71</v>
      </c>
      <c r="C151" s="96">
        <v>2.7429999999999999</v>
      </c>
      <c r="O151" s="16"/>
      <c r="R151" s="16"/>
      <c r="S151" s="154"/>
      <c r="T151" s="97"/>
    </row>
    <row r="152" spans="1:21" ht="17.25" x14ac:dyDescent="0.3">
      <c r="B152" s="87" t="s">
        <v>29</v>
      </c>
      <c r="C152" s="88">
        <v>437.81</v>
      </c>
      <c r="O152" s="17"/>
      <c r="R152" s="16"/>
      <c r="S152" s="17"/>
      <c r="T152" s="97"/>
    </row>
    <row r="153" spans="1:21" ht="17.25" x14ac:dyDescent="0.3">
      <c r="B153" s="87" t="s">
        <v>61</v>
      </c>
      <c r="C153" s="88">
        <v>536.92999999999995</v>
      </c>
      <c r="R153" s="18"/>
      <c r="S153" s="16"/>
      <c r="T153" s="5"/>
    </row>
    <row r="154" spans="1:21" x14ac:dyDescent="0.25">
      <c r="T154" s="5"/>
    </row>
    <row r="155" spans="1:21" x14ac:dyDescent="0.25">
      <c r="S155" s="19"/>
    </row>
    <row r="156" spans="1:21" x14ac:dyDescent="0.25">
      <c r="O156" s="154"/>
      <c r="R156" s="16"/>
      <c r="S156" s="154"/>
    </row>
    <row r="162" spans="2:21" x14ac:dyDescent="0.25">
      <c r="S162" s="16"/>
    </row>
    <row r="163" spans="2:21" s="17" customFormat="1" x14ac:dyDescent="0.25">
      <c r="B163" s="20"/>
      <c r="C163" s="6"/>
      <c r="D163" s="6"/>
      <c r="E163" s="6"/>
      <c r="F163" s="6"/>
      <c r="G163" s="6"/>
      <c r="H163" s="6"/>
      <c r="I163" s="6"/>
      <c r="J163" s="6"/>
      <c r="K163" s="89"/>
      <c r="L163" s="6"/>
      <c r="M163" s="6"/>
      <c r="N163" s="6"/>
      <c r="O163" s="6"/>
      <c r="P163" s="91"/>
      <c r="Q163" s="6"/>
      <c r="R163" s="6"/>
      <c r="S163" s="16"/>
      <c r="T163" s="6"/>
      <c r="U163" s="5"/>
    </row>
  </sheetData>
  <protectedRanges>
    <protectedRange password="C670" sqref="L137:T137 A80:N92 A74:N77 A65:T68 O74:T77 O80:S92 T80:T92" name="Maria"/>
    <protectedRange algorithmName="SHA-512" hashValue="R0m7mG/o0t2+7dbQTzM5iQkFX2amgAS+iAGJudQnnweh07e6LDAbSuhvcwbzcp7drP+HIG4d/wHfMCXiBXmkow==" saltValue="hXh6Ce3lteSj/cvmR3BSBw==" spinCount="100000" sqref="T138 T96:T97 T148 A114:R134 A96:R97 A148:R148 L138:R138 T114:T134" name="Narine"/>
    <protectedRange algorithmName="SHA-512" hashValue="/qDn2zoAPl6XveVGTDHZcWIjR6P6fmKMYiOIx92BVGuoQ3TYOXlsDsoiDSLs1D9Ugjb3A3EixLJ11cGk8PSHvw==" saltValue="LV/JN9wntl8CkZ3QpoEkqA==" spinCount="100000" sqref="T97:T99 A62:R63 A97:R99 T62:T63" name="Nara"/>
    <protectedRange algorithmName="SHA-512" hashValue="2hnhy85Hze6pXZTujHMyiGA7lE9yapdzAMEgpTAQUbEvX5wkbgVJAYj8efzABUddHb+HHBXm+QO7FFQ7DdcL0Q==" saltValue="/3Se5MhqYIbXZuII16lL6A==" spinCount="100000" sqref="A104:N109 O104:T109 A73:T73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3:A44"/>
    <mergeCell ref="B43:B44"/>
    <mergeCell ref="C43:C44"/>
    <mergeCell ref="K43:K44"/>
    <mergeCell ref="L43:L44"/>
    <mergeCell ref="P43:P44"/>
    <mergeCell ref="T43:T44"/>
    <mergeCell ref="A34:A36"/>
    <mergeCell ref="B34:B36"/>
    <mergeCell ref="C34:C36"/>
    <mergeCell ref="D34:D36"/>
    <mergeCell ref="E34:E36"/>
    <mergeCell ref="K34:K36"/>
    <mergeCell ref="B53:B54"/>
    <mergeCell ref="T53:T54"/>
    <mergeCell ref="A56:A57"/>
    <mergeCell ref="B56:B57"/>
    <mergeCell ref="C56:C57"/>
    <mergeCell ref="T56:T57"/>
    <mergeCell ref="P45:P46"/>
    <mergeCell ref="A47:C51"/>
    <mergeCell ref="D47:L47"/>
    <mergeCell ref="D48:L48"/>
    <mergeCell ref="D49:L49"/>
    <mergeCell ref="D50:L50"/>
    <mergeCell ref="D51:L51"/>
    <mergeCell ref="A58:C61"/>
    <mergeCell ref="D58:L58"/>
    <mergeCell ref="D59:L59"/>
    <mergeCell ref="D60:L60"/>
    <mergeCell ref="D61:L61"/>
    <mergeCell ref="A69:C72"/>
    <mergeCell ref="D69:L69"/>
    <mergeCell ref="D70:L70"/>
    <mergeCell ref="D71:L71"/>
    <mergeCell ref="D72:L72"/>
    <mergeCell ref="T87:T88"/>
    <mergeCell ref="A93:A94"/>
    <mergeCell ref="B93:B94"/>
    <mergeCell ref="C93:C94"/>
    <mergeCell ref="D93:D94"/>
    <mergeCell ref="K93:K94"/>
    <mergeCell ref="L93:L94"/>
    <mergeCell ref="T93:T94"/>
    <mergeCell ref="A76:A77"/>
    <mergeCell ref="B76:B77"/>
    <mergeCell ref="C76:C77"/>
    <mergeCell ref="L76:L77"/>
    <mergeCell ref="T81:T83"/>
    <mergeCell ref="A87:A88"/>
    <mergeCell ref="B87:B88"/>
    <mergeCell ref="C87:C88"/>
    <mergeCell ref="D87:D88"/>
    <mergeCell ref="K87:K88"/>
    <mergeCell ref="A110:C113"/>
    <mergeCell ref="D110:L110"/>
    <mergeCell ref="D111:L111"/>
    <mergeCell ref="D112:L112"/>
    <mergeCell ref="D113:L113"/>
    <mergeCell ref="B135:K138"/>
    <mergeCell ref="A100:C103"/>
    <mergeCell ref="D100:L100"/>
    <mergeCell ref="D101:L101"/>
    <mergeCell ref="D102:L102"/>
    <mergeCell ref="D103:L103"/>
    <mergeCell ref="B107:B109"/>
    <mergeCell ref="C107:C109"/>
    <mergeCell ref="D147:L147"/>
    <mergeCell ref="A139:C142"/>
    <mergeCell ref="D139:L139"/>
    <mergeCell ref="D140:L140"/>
    <mergeCell ref="D141:L141"/>
    <mergeCell ref="D142:L142"/>
    <mergeCell ref="A143:C147"/>
    <mergeCell ref="D143:L143"/>
    <mergeCell ref="D144:L144"/>
    <mergeCell ref="D145:L145"/>
    <mergeCell ref="D146:L146"/>
  </mergeCells>
  <conditionalFormatting sqref="O5">
    <cfRule type="cellIs" dxfId="46" priority="5" operator="notEqual">
      <formula>#REF!</formula>
    </cfRule>
  </conditionalFormatting>
  <conditionalFormatting sqref="O95 O6:O33 O35:O41 O43:O45">
    <cfRule type="cellIs" dxfId="45" priority="4" operator="notEqual">
      <formula>#REF!</formula>
    </cfRule>
  </conditionalFormatting>
  <conditionalFormatting sqref="N21">
    <cfRule type="cellIs" dxfId="44" priority="3" operator="notEqual">
      <formula>#REF!</formula>
    </cfRule>
  </conditionalFormatting>
  <conditionalFormatting sqref="O46">
    <cfRule type="cellIs" dxfId="43" priority="2" operator="notEqual">
      <formula>#REF!</formula>
    </cfRule>
  </conditionalFormatting>
  <conditionalFormatting sqref="O79">
    <cfRule type="cellIs" dxfId="42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="80" zoomScaleNormal="8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C9" sqref="C9:C10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44.28515625" style="5" customWidth="1"/>
    <col min="16" max="16" width="23.5703125" style="5" customWidth="1"/>
    <col min="17" max="17" width="21.85546875" style="6" customWidth="1"/>
    <col min="18" max="16384" width="9.140625" style="6"/>
  </cols>
  <sheetData>
    <row r="1" spans="1:17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17" ht="49.5" customHeight="1" x14ac:dyDescent="0.4">
      <c r="A2" s="570" t="s">
        <v>461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</row>
    <row r="3" spans="1:17" ht="38.25" customHeight="1" thickBot="1" x14ac:dyDescent="0.3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7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298</v>
      </c>
      <c r="F4" s="24" t="s">
        <v>290</v>
      </c>
      <c r="G4" s="24" t="s">
        <v>17</v>
      </c>
      <c r="H4" s="24" t="s">
        <v>18</v>
      </c>
      <c r="I4" s="24" t="s">
        <v>19</v>
      </c>
      <c r="J4" s="26" t="s">
        <v>20</v>
      </c>
      <c r="K4" s="24" t="s">
        <v>21</v>
      </c>
      <c r="L4" s="24" t="s">
        <v>22</v>
      </c>
      <c r="M4" s="24" t="s">
        <v>23</v>
      </c>
      <c r="N4" s="27" t="s">
        <v>24</v>
      </c>
      <c r="O4" s="191" t="s">
        <v>462</v>
      </c>
      <c r="P4" s="1"/>
      <c r="Q4" s="98"/>
    </row>
    <row r="5" spans="1:17" ht="60" customHeight="1" outlineLevel="1" x14ac:dyDescent="0.25">
      <c r="A5" s="533">
        <v>1</v>
      </c>
      <c r="B5" s="571" t="s">
        <v>25</v>
      </c>
      <c r="C5" s="28" t="s">
        <v>26</v>
      </c>
      <c r="D5" s="530" t="s">
        <v>27</v>
      </c>
      <c r="E5" s="542" t="s">
        <v>299</v>
      </c>
      <c r="F5" s="158" t="s">
        <v>28</v>
      </c>
      <c r="G5" s="31" t="s">
        <v>29</v>
      </c>
      <c r="H5" s="185">
        <v>7300000</v>
      </c>
      <c r="I5" s="32">
        <f>5822389.5+13412.1+4470.7+716451.75+24588.85+716451.75+2235.35</f>
        <v>7299999.9999999991</v>
      </c>
      <c r="J5" s="30" t="s">
        <v>30</v>
      </c>
      <c r="K5" s="32">
        <f>595000+119000+119000+119000+119000+119000</f>
        <v>1190000</v>
      </c>
      <c r="L5" s="32">
        <v>652083.5</v>
      </c>
      <c r="M5" s="185">
        <f t="shared" ref="M5:M33" si="0">I5-K5</f>
        <v>6109999.9999999991</v>
      </c>
      <c r="N5" s="189" t="s">
        <v>31</v>
      </c>
      <c r="O5" s="193"/>
      <c r="Q5" s="5"/>
    </row>
    <row r="6" spans="1:17" ht="75.75" customHeight="1" outlineLevel="1" x14ac:dyDescent="0.25">
      <c r="A6" s="547"/>
      <c r="B6" s="528"/>
      <c r="C6" s="33" t="s">
        <v>32</v>
      </c>
      <c r="D6" s="553"/>
      <c r="E6" s="552"/>
      <c r="F6" s="159" t="s">
        <v>33</v>
      </c>
      <c r="G6" s="183" t="s">
        <v>29</v>
      </c>
      <c r="H6" s="32">
        <v>7300000</v>
      </c>
      <c r="I6" s="32">
        <v>7299999.9999999981</v>
      </c>
      <c r="J6" s="169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140" t="s">
        <v>35</v>
      </c>
      <c r="O6" s="197"/>
      <c r="Q6" s="5"/>
    </row>
    <row r="7" spans="1:17" ht="64.5" customHeight="1" outlineLevel="1" x14ac:dyDescent="0.25">
      <c r="A7" s="156">
        <v>2</v>
      </c>
      <c r="B7" s="180" t="s">
        <v>25</v>
      </c>
      <c r="C7" s="180" t="s">
        <v>36</v>
      </c>
      <c r="D7" s="159" t="s">
        <v>27</v>
      </c>
      <c r="E7" s="161" t="s">
        <v>300</v>
      </c>
      <c r="F7" s="159" t="s">
        <v>37</v>
      </c>
      <c r="G7" s="183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140" t="s">
        <v>31</v>
      </c>
      <c r="O7" s="197"/>
      <c r="Q7" s="5"/>
    </row>
    <row r="8" spans="1:17" ht="67.5" outlineLevel="1" x14ac:dyDescent="0.25">
      <c r="A8" s="156">
        <v>3</v>
      </c>
      <c r="B8" s="180" t="s">
        <v>25</v>
      </c>
      <c r="C8" s="180" t="s">
        <v>38</v>
      </c>
      <c r="D8" s="159" t="s">
        <v>27</v>
      </c>
      <c r="E8" s="161" t="s">
        <v>301</v>
      </c>
      <c r="F8" s="159" t="s">
        <v>39</v>
      </c>
      <c r="G8" s="183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140" t="s">
        <v>35</v>
      </c>
      <c r="O8" s="197"/>
      <c r="Q8" s="5"/>
    </row>
    <row r="9" spans="1:17" ht="57.75" customHeight="1" outlineLevel="1" x14ac:dyDescent="0.25">
      <c r="A9" s="532">
        <v>4</v>
      </c>
      <c r="B9" s="521" t="s">
        <v>25</v>
      </c>
      <c r="C9" s="521" t="s">
        <v>38</v>
      </c>
      <c r="D9" s="159" t="s">
        <v>27</v>
      </c>
      <c r="E9" s="541" t="s">
        <v>301</v>
      </c>
      <c r="F9" s="531" t="s">
        <v>41</v>
      </c>
      <c r="G9" s="183" t="s">
        <v>29</v>
      </c>
      <c r="H9" s="32">
        <v>10200000</v>
      </c>
      <c r="I9" s="32">
        <f>1075381.69+59500</f>
        <v>1134881.69</v>
      </c>
      <c r="J9" s="539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510" t="s">
        <v>35</v>
      </c>
      <c r="O9" s="197"/>
      <c r="Q9" s="5"/>
    </row>
    <row r="10" spans="1:17" ht="57.75" customHeight="1" outlineLevel="1" x14ac:dyDescent="0.25">
      <c r="A10" s="533"/>
      <c r="B10" s="528"/>
      <c r="C10" s="528"/>
      <c r="D10" s="159" t="s">
        <v>463</v>
      </c>
      <c r="E10" s="542"/>
      <c r="F10" s="530"/>
      <c r="G10" s="183" t="s">
        <v>2</v>
      </c>
      <c r="H10" s="32"/>
      <c r="I10" s="32">
        <v>244081445</v>
      </c>
      <c r="J10" s="559"/>
      <c r="K10" s="32"/>
      <c r="L10" s="32">
        <f>9774294.3+915305.4+915305.4+915305.4</f>
        <v>12520210.500000002</v>
      </c>
      <c r="M10" s="32">
        <f>I10-K10</f>
        <v>244081445</v>
      </c>
      <c r="N10" s="524"/>
      <c r="O10" s="197"/>
      <c r="Q10" s="5"/>
    </row>
    <row r="11" spans="1:17" ht="76.5" customHeight="1" outlineLevel="1" x14ac:dyDescent="0.25">
      <c r="A11" s="532">
        <v>5</v>
      </c>
      <c r="B11" s="521" t="s">
        <v>25</v>
      </c>
      <c r="C11" s="521" t="s">
        <v>42</v>
      </c>
      <c r="D11" s="159" t="s">
        <v>126</v>
      </c>
      <c r="E11" s="541" t="s">
        <v>302</v>
      </c>
      <c r="F11" s="531" t="s">
        <v>43</v>
      </c>
      <c r="G11" s="183" t="s">
        <v>29</v>
      </c>
      <c r="H11" s="32">
        <v>10000000</v>
      </c>
      <c r="I11" s="32"/>
      <c r="J11" s="539" t="s">
        <v>44</v>
      </c>
      <c r="K11" s="32"/>
      <c r="L11" s="32">
        <v>50000</v>
      </c>
      <c r="M11" s="32">
        <f>I11-K11</f>
        <v>0</v>
      </c>
      <c r="N11" s="510" t="s">
        <v>45</v>
      </c>
      <c r="O11" s="197"/>
      <c r="Q11" s="5"/>
    </row>
    <row r="12" spans="1:17" ht="76.5" customHeight="1" outlineLevel="1" x14ac:dyDescent="0.25">
      <c r="A12" s="533"/>
      <c r="B12" s="528"/>
      <c r="C12" s="528"/>
      <c r="D12" s="159" t="s">
        <v>463</v>
      </c>
      <c r="E12" s="542"/>
      <c r="F12" s="530"/>
      <c r="G12" s="159" t="s">
        <v>2</v>
      </c>
      <c r="H12" s="32"/>
      <c r="I12" s="32"/>
      <c r="J12" s="559"/>
      <c r="K12" s="32"/>
      <c r="L12" s="32"/>
      <c r="M12" s="32">
        <f t="shared" si="0"/>
        <v>0</v>
      </c>
      <c r="N12" s="524"/>
      <c r="O12" s="197"/>
      <c r="Q12" s="5"/>
    </row>
    <row r="13" spans="1:17" ht="76.5" customHeight="1" outlineLevel="1" x14ac:dyDescent="0.25">
      <c r="A13" s="532">
        <v>6</v>
      </c>
      <c r="B13" s="521" t="s">
        <v>25</v>
      </c>
      <c r="C13" s="521" t="s">
        <v>46</v>
      </c>
      <c r="D13" s="159" t="s">
        <v>27</v>
      </c>
      <c r="E13" s="541" t="s">
        <v>303</v>
      </c>
      <c r="F13" s="531" t="s">
        <v>47</v>
      </c>
      <c r="G13" s="183" t="s">
        <v>29</v>
      </c>
      <c r="H13" s="32">
        <v>83000000</v>
      </c>
      <c r="I13" s="32"/>
      <c r="J13" s="539" t="s">
        <v>464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510" t="s">
        <v>35</v>
      </c>
      <c r="O13" s="197"/>
      <c r="Q13" s="5"/>
    </row>
    <row r="14" spans="1:17" ht="76.5" customHeight="1" outlineLevel="1" x14ac:dyDescent="0.25">
      <c r="A14" s="533"/>
      <c r="B14" s="528"/>
      <c r="C14" s="528"/>
      <c r="D14" s="159" t="s">
        <v>463</v>
      </c>
      <c r="E14" s="542"/>
      <c r="F14" s="530"/>
      <c r="G14" s="159" t="s">
        <v>2</v>
      </c>
      <c r="H14" s="32"/>
      <c r="I14" s="32"/>
      <c r="J14" s="559"/>
      <c r="K14" s="32"/>
      <c r="L14" s="32"/>
      <c r="M14" s="32">
        <f t="shared" si="0"/>
        <v>0</v>
      </c>
      <c r="N14" s="524"/>
      <c r="O14" s="197"/>
      <c r="P14" s="8"/>
      <c r="Q14" s="5"/>
    </row>
    <row r="15" spans="1:17" ht="96.75" customHeight="1" outlineLevel="1" x14ac:dyDescent="0.25">
      <c r="A15" s="547">
        <v>7</v>
      </c>
      <c r="B15" s="521" t="s">
        <v>25</v>
      </c>
      <c r="C15" s="521" t="s">
        <v>48</v>
      </c>
      <c r="D15" s="553" t="s">
        <v>49</v>
      </c>
      <c r="E15" s="552" t="s">
        <v>304</v>
      </c>
      <c r="F15" s="553" t="s">
        <v>50</v>
      </c>
      <c r="G15" s="183" t="s">
        <v>51</v>
      </c>
      <c r="H15" s="32">
        <f>35500000-1434414.8</f>
        <v>34065585.200000003</v>
      </c>
      <c r="I15" s="32">
        <v>34065585.200000003</v>
      </c>
      <c r="J15" s="555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510" t="s">
        <v>52</v>
      </c>
      <c r="O15" s="573" t="s">
        <v>465</v>
      </c>
      <c r="P15" s="8"/>
      <c r="Q15" s="5"/>
    </row>
    <row r="16" spans="1:17" ht="139.5" customHeight="1" outlineLevel="1" x14ac:dyDescent="0.25">
      <c r="A16" s="547"/>
      <c r="B16" s="528"/>
      <c r="C16" s="528"/>
      <c r="D16" s="553"/>
      <c r="E16" s="552"/>
      <c r="F16" s="553"/>
      <c r="G16" s="159" t="s">
        <v>2</v>
      </c>
      <c r="H16" s="32"/>
      <c r="I16" s="32">
        <v>3680136115.8000002</v>
      </c>
      <c r="J16" s="555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524"/>
      <c r="O16" s="574"/>
      <c r="P16" s="8"/>
      <c r="Q16" s="5"/>
    </row>
    <row r="17" spans="1:16" s="5" customFormat="1" ht="81" customHeight="1" outlineLevel="1" x14ac:dyDescent="0.25">
      <c r="A17" s="532">
        <v>8</v>
      </c>
      <c r="B17" s="521" t="s">
        <v>25</v>
      </c>
      <c r="C17" s="521" t="s">
        <v>53</v>
      </c>
      <c r="D17" s="531" t="s">
        <v>49</v>
      </c>
      <c r="E17" s="541" t="s">
        <v>305</v>
      </c>
      <c r="F17" s="541" t="s">
        <v>54</v>
      </c>
      <c r="G17" s="183" t="s">
        <v>51</v>
      </c>
      <c r="H17" s="34">
        <f>40000000-2500000-1500000</f>
        <v>36000000</v>
      </c>
      <c r="I17" s="32">
        <v>25696827.510000002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25696827.510000002</v>
      </c>
      <c r="N17" s="510" t="s">
        <v>52</v>
      </c>
      <c r="O17" s="573" t="s">
        <v>466</v>
      </c>
      <c r="P17" s="8"/>
    </row>
    <row r="18" spans="1:16" s="5" customFormat="1" ht="83.25" customHeight="1" outlineLevel="1" x14ac:dyDescent="0.25">
      <c r="A18" s="533"/>
      <c r="B18" s="528"/>
      <c r="C18" s="528"/>
      <c r="D18" s="530"/>
      <c r="E18" s="542"/>
      <c r="F18" s="542"/>
      <c r="G18" s="159" t="s">
        <v>2</v>
      </c>
      <c r="H18" s="34"/>
      <c r="I18" s="32">
        <v>1009149275.1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1008586062.9</v>
      </c>
      <c r="N18" s="524"/>
      <c r="O18" s="574"/>
      <c r="P18" s="8"/>
    </row>
    <row r="19" spans="1:16" s="5" customFormat="1" ht="70.5" customHeight="1" outlineLevel="1" x14ac:dyDescent="0.25">
      <c r="A19" s="532">
        <v>9</v>
      </c>
      <c r="B19" s="534" t="s">
        <v>25</v>
      </c>
      <c r="C19" s="521" t="s">
        <v>55</v>
      </c>
      <c r="D19" s="531" t="s">
        <v>49</v>
      </c>
      <c r="E19" s="541" t="s">
        <v>306</v>
      </c>
      <c r="F19" s="541" t="s">
        <v>56</v>
      </c>
      <c r="G19" s="183" t="s">
        <v>51</v>
      </c>
      <c r="H19" s="34">
        <v>23194486</v>
      </c>
      <c r="I19" s="32">
        <v>14063736.780000001</v>
      </c>
      <c r="J19" s="539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14063736.780000001</v>
      </c>
      <c r="N19" s="510" t="s">
        <v>52</v>
      </c>
      <c r="O19" s="573" t="s">
        <v>467</v>
      </c>
      <c r="P19" s="8"/>
    </row>
    <row r="20" spans="1:16" s="5" customFormat="1" ht="54.75" customHeight="1" outlineLevel="1" x14ac:dyDescent="0.25">
      <c r="A20" s="533"/>
      <c r="B20" s="527"/>
      <c r="C20" s="522"/>
      <c r="D20" s="529"/>
      <c r="E20" s="542"/>
      <c r="F20" s="542"/>
      <c r="G20" s="159" t="s">
        <v>2</v>
      </c>
      <c r="H20" s="34"/>
      <c r="I20" s="32">
        <v>1673505397.0999999</v>
      </c>
      <c r="J20" s="558"/>
      <c r="K20" s="32">
        <v>91463799.799999997</v>
      </c>
      <c r="L20" s="32">
        <f>119885553.7+36155098.5+43333756.7</f>
        <v>199374408.89999998</v>
      </c>
      <c r="M20" s="32">
        <f t="shared" si="0"/>
        <v>1582041597.3</v>
      </c>
      <c r="N20" s="524"/>
      <c r="O20" s="574"/>
      <c r="P20" s="8"/>
    </row>
    <row r="21" spans="1:16" s="5" customFormat="1" ht="60" customHeight="1" outlineLevel="1" x14ac:dyDescent="0.25">
      <c r="A21" s="532">
        <v>10</v>
      </c>
      <c r="B21" s="534" t="s">
        <v>57</v>
      </c>
      <c r="C21" s="522"/>
      <c r="D21" s="529"/>
      <c r="E21" s="541" t="s">
        <v>307</v>
      </c>
      <c r="F21" s="541" t="s">
        <v>56</v>
      </c>
      <c r="G21" s="183" t="s">
        <v>51</v>
      </c>
      <c r="H21" s="32">
        <v>16662617.070000002</v>
      </c>
      <c r="I21" s="32">
        <v>16662617.070000002</v>
      </c>
      <c r="J21" s="558"/>
      <c r="K21" s="32"/>
      <c r="L21" s="32">
        <f>2194958+182027405/386.38+218562808/403.19</f>
        <v>3208151.702122347</v>
      </c>
      <c r="M21" s="32">
        <f t="shared" si="0"/>
        <v>16662617.070000002</v>
      </c>
      <c r="N21" s="510" t="s">
        <v>52</v>
      </c>
      <c r="O21" s="573" t="s">
        <v>468</v>
      </c>
      <c r="P21" s="8"/>
    </row>
    <row r="22" spans="1:16" s="5" customFormat="1" ht="40.5" customHeight="1" outlineLevel="1" x14ac:dyDescent="0.25">
      <c r="A22" s="533"/>
      <c r="B22" s="527"/>
      <c r="C22" s="528"/>
      <c r="D22" s="530"/>
      <c r="E22" s="542"/>
      <c r="F22" s="542"/>
      <c r="G22" s="183" t="s">
        <v>2</v>
      </c>
      <c r="H22" s="9"/>
      <c r="I22" s="32">
        <v>2003005775.2</v>
      </c>
      <c r="J22" s="559"/>
      <c r="K22" s="32"/>
      <c r="L22" s="32">
        <f>238604865.8+56631905+65163658.9</f>
        <v>360400429.69999999</v>
      </c>
      <c r="M22" s="32">
        <f t="shared" si="0"/>
        <v>2003005775.2</v>
      </c>
      <c r="N22" s="524"/>
      <c r="O22" s="574"/>
      <c r="P22" s="8"/>
    </row>
    <row r="23" spans="1:16" s="5" customFormat="1" ht="57.75" customHeight="1" outlineLevel="1" x14ac:dyDescent="0.25">
      <c r="A23" s="532">
        <v>11</v>
      </c>
      <c r="B23" s="534" t="s">
        <v>25</v>
      </c>
      <c r="C23" s="521" t="s">
        <v>58</v>
      </c>
      <c r="D23" s="531" t="s">
        <v>59</v>
      </c>
      <c r="E23" s="541" t="s">
        <v>305</v>
      </c>
      <c r="F23" s="531" t="s">
        <v>60</v>
      </c>
      <c r="G23" s="183" t="s">
        <v>61</v>
      </c>
      <c r="H23" s="36">
        <v>13988153</v>
      </c>
      <c r="I23" s="32">
        <v>8262785.6411363389</v>
      </c>
      <c r="J23" s="539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510" t="s">
        <v>52</v>
      </c>
      <c r="O23" s="573" t="s">
        <v>469</v>
      </c>
      <c r="P23" s="8"/>
    </row>
    <row r="24" spans="1:16" s="5" customFormat="1" ht="32.25" customHeight="1" outlineLevel="1" x14ac:dyDescent="0.25">
      <c r="A24" s="533"/>
      <c r="B24" s="527"/>
      <c r="C24" s="522"/>
      <c r="D24" s="529"/>
      <c r="E24" s="542"/>
      <c r="F24" s="530"/>
      <c r="G24" s="159" t="s">
        <v>2</v>
      </c>
      <c r="H24" s="37"/>
      <c r="I24" s="32">
        <v>1194787815</v>
      </c>
      <c r="J24" s="559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524"/>
      <c r="O24" s="574"/>
      <c r="P24" s="8"/>
    </row>
    <row r="25" spans="1:16" s="5" customFormat="1" ht="51.75" customHeight="1" outlineLevel="1" x14ac:dyDescent="0.25">
      <c r="A25" s="532">
        <v>12</v>
      </c>
      <c r="B25" s="534" t="s">
        <v>62</v>
      </c>
      <c r="C25" s="522"/>
      <c r="D25" s="529"/>
      <c r="E25" s="541" t="s">
        <v>308</v>
      </c>
      <c r="F25" s="531" t="s">
        <v>60</v>
      </c>
      <c r="G25" s="183" t="s">
        <v>61</v>
      </c>
      <c r="H25" s="36">
        <v>10098535</v>
      </c>
      <c r="I25" s="32">
        <v>10121386.37101347</v>
      </c>
      <c r="J25" s="539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510" t="s">
        <v>52</v>
      </c>
      <c r="O25" s="573" t="s">
        <v>470</v>
      </c>
      <c r="P25" s="8"/>
    </row>
    <row r="26" spans="1:16" s="5" customFormat="1" ht="32.25" customHeight="1" outlineLevel="1" x14ac:dyDescent="0.25">
      <c r="A26" s="533"/>
      <c r="B26" s="527"/>
      <c r="C26" s="528"/>
      <c r="D26" s="530"/>
      <c r="E26" s="542"/>
      <c r="F26" s="530"/>
      <c r="G26" s="159" t="s">
        <v>2</v>
      </c>
      <c r="H26" s="37"/>
      <c r="I26" s="32">
        <v>794162455.89999998</v>
      </c>
      <c r="J26" s="559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524"/>
      <c r="O26" s="574"/>
      <c r="P26" s="8"/>
    </row>
    <row r="27" spans="1:16" s="5" customFormat="1" ht="48" customHeight="1" outlineLevel="1" x14ac:dyDescent="0.25">
      <c r="A27" s="156">
        <v>13</v>
      </c>
      <c r="B27" s="179" t="s">
        <v>25</v>
      </c>
      <c r="C27" s="548" t="s">
        <v>63</v>
      </c>
      <c r="D27" s="553" t="s">
        <v>64</v>
      </c>
      <c r="E27" s="161" t="s">
        <v>309</v>
      </c>
      <c r="F27" s="159" t="s">
        <v>65</v>
      </c>
      <c r="G27" s="183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140" t="s">
        <v>52</v>
      </c>
      <c r="O27" s="197"/>
      <c r="P27" s="8"/>
    </row>
    <row r="28" spans="1:16" s="5" customFormat="1" ht="60" customHeight="1" outlineLevel="1" x14ac:dyDescent="0.25">
      <c r="A28" s="156">
        <v>14</v>
      </c>
      <c r="B28" s="179" t="s">
        <v>62</v>
      </c>
      <c r="C28" s="548"/>
      <c r="D28" s="553"/>
      <c r="E28" s="161" t="s">
        <v>310</v>
      </c>
      <c r="F28" s="159" t="s">
        <v>66</v>
      </c>
      <c r="G28" s="183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140" t="s">
        <v>52</v>
      </c>
      <c r="O28" s="198" t="s">
        <v>471</v>
      </c>
      <c r="P28" s="8"/>
    </row>
    <row r="29" spans="1:16" s="5" customFormat="1" ht="51" customHeight="1" outlineLevel="1" x14ac:dyDescent="0.25">
      <c r="A29" s="156">
        <v>15</v>
      </c>
      <c r="B29" s="179" t="s">
        <v>62</v>
      </c>
      <c r="C29" s="554" t="s">
        <v>68</v>
      </c>
      <c r="D29" s="553" t="s">
        <v>69</v>
      </c>
      <c r="E29" s="161" t="s">
        <v>311</v>
      </c>
      <c r="F29" s="159" t="s">
        <v>70</v>
      </c>
      <c r="G29" s="159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140" t="s">
        <v>52</v>
      </c>
      <c r="O29" s="197"/>
      <c r="P29" s="8"/>
    </row>
    <row r="30" spans="1:16" s="5" customFormat="1" ht="41.25" customHeight="1" outlineLevel="1" x14ac:dyDescent="0.25">
      <c r="A30" s="156">
        <v>16</v>
      </c>
      <c r="B30" s="180" t="s">
        <v>72</v>
      </c>
      <c r="C30" s="554"/>
      <c r="D30" s="553"/>
      <c r="E30" s="161" t="s">
        <v>312</v>
      </c>
      <c r="F30" s="159" t="s">
        <v>70</v>
      </c>
      <c r="G30" s="159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140" t="s">
        <v>52</v>
      </c>
      <c r="O30" s="197"/>
      <c r="P30" s="8"/>
    </row>
    <row r="31" spans="1:16" s="5" customFormat="1" ht="33.75" customHeight="1" outlineLevel="1" x14ac:dyDescent="0.25">
      <c r="A31" s="547">
        <v>17</v>
      </c>
      <c r="B31" s="554" t="s">
        <v>73</v>
      </c>
      <c r="C31" s="548" t="s">
        <v>74</v>
      </c>
      <c r="D31" s="553" t="s">
        <v>64</v>
      </c>
      <c r="E31" s="552" t="s">
        <v>313</v>
      </c>
      <c r="F31" s="553" t="s">
        <v>75</v>
      </c>
      <c r="G31" s="183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140" t="s">
        <v>76</v>
      </c>
      <c r="O31" s="197"/>
      <c r="P31" s="8"/>
    </row>
    <row r="32" spans="1:16" s="5" customFormat="1" ht="41.25" customHeight="1" outlineLevel="1" x14ac:dyDescent="0.25">
      <c r="A32" s="547"/>
      <c r="B32" s="554"/>
      <c r="C32" s="548"/>
      <c r="D32" s="553"/>
      <c r="E32" s="552"/>
      <c r="F32" s="553"/>
      <c r="G32" s="159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140" t="s">
        <v>76</v>
      </c>
      <c r="O32" s="197"/>
      <c r="P32" s="8"/>
    </row>
    <row r="33" spans="1:17" ht="87" customHeight="1" outlineLevel="1" x14ac:dyDescent="0.25">
      <c r="A33" s="156">
        <v>18</v>
      </c>
      <c r="B33" s="179" t="s">
        <v>77</v>
      </c>
      <c r="C33" s="180" t="s">
        <v>78</v>
      </c>
      <c r="D33" s="159" t="s">
        <v>27</v>
      </c>
      <c r="E33" s="161" t="s">
        <v>314</v>
      </c>
      <c r="F33" s="161" t="s">
        <v>79</v>
      </c>
      <c r="G33" s="183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140" t="s">
        <v>52</v>
      </c>
      <c r="O33" s="197"/>
      <c r="P33" s="8"/>
      <c r="Q33" s="5"/>
    </row>
    <row r="34" spans="1:17" ht="40.5" customHeight="1" outlineLevel="1" x14ac:dyDescent="0.25">
      <c r="A34" s="547">
        <v>19</v>
      </c>
      <c r="B34" s="534" t="s">
        <v>80</v>
      </c>
      <c r="C34" s="548" t="s">
        <v>81</v>
      </c>
      <c r="D34" s="548" t="s">
        <v>277</v>
      </c>
      <c r="E34" s="548" t="s">
        <v>315</v>
      </c>
      <c r="F34" s="180" t="s">
        <v>82</v>
      </c>
      <c r="G34" s="183" t="s">
        <v>29</v>
      </c>
      <c r="H34" s="42">
        <v>22000000</v>
      </c>
      <c r="I34" s="32">
        <v>21247150.510000002</v>
      </c>
      <c r="J34" s="181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521" t="s">
        <v>439</v>
      </c>
      <c r="O34" s="197"/>
      <c r="P34" s="8"/>
      <c r="Q34" s="5"/>
    </row>
    <row r="35" spans="1:17" ht="31.5" customHeight="1" outlineLevel="1" x14ac:dyDescent="0.25">
      <c r="A35" s="547"/>
      <c r="B35" s="526"/>
      <c r="C35" s="548"/>
      <c r="D35" s="548"/>
      <c r="E35" s="548"/>
      <c r="F35" s="180" t="s">
        <v>85</v>
      </c>
      <c r="G35" s="183" t="s">
        <v>29</v>
      </c>
      <c r="H35" s="42">
        <v>14500000</v>
      </c>
      <c r="I35" s="32">
        <v>14491281.059999999</v>
      </c>
      <c r="J35" s="181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522"/>
      <c r="O35" s="197"/>
      <c r="P35" s="8"/>
      <c r="Q35" s="5"/>
    </row>
    <row r="36" spans="1:17" ht="42.75" customHeight="1" outlineLevel="1" x14ac:dyDescent="0.25">
      <c r="A36" s="547"/>
      <c r="B36" s="527"/>
      <c r="C36" s="548"/>
      <c r="D36" s="548"/>
      <c r="E36" s="548"/>
      <c r="F36" s="180" t="s">
        <v>86</v>
      </c>
      <c r="G36" s="183" t="s">
        <v>29</v>
      </c>
      <c r="H36" s="42">
        <v>14500000</v>
      </c>
      <c r="I36" s="32">
        <v>14500000.000000002</v>
      </c>
      <c r="J36" s="181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528"/>
      <c r="O36" s="197"/>
      <c r="P36" s="8"/>
      <c r="Q36" s="5"/>
    </row>
    <row r="37" spans="1:17" ht="94.5" customHeight="1" outlineLevel="1" x14ac:dyDescent="0.25">
      <c r="A37" s="156">
        <v>20</v>
      </c>
      <c r="B37" s="180" t="s">
        <v>88</v>
      </c>
      <c r="C37" s="179" t="s">
        <v>89</v>
      </c>
      <c r="D37" s="159" t="s">
        <v>69</v>
      </c>
      <c r="E37" s="161" t="s">
        <v>316</v>
      </c>
      <c r="F37" s="159" t="s">
        <v>90</v>
      </c>
      <c r="G37" s="159" t="s">
        <v>71</v>
      </c>
      <c r="H37" s="170">
        <v>26409000000</v>
      </c>
      <c r="I37" s="32">
        <v>26399286331</v>
      </c>
      <c r="J37" s="35">
        <v>7.4999999999999997E-3</v>
      </c>
      <c r="K37" s="32">
        <f>7357230331.16835+1131704010/2.615</f>
        <v>7790004331.1683502</v>
      </c>
      <c r="L37" s="32">
        <f>2607354309.06995+188428717.2/2.615</f>
        <v>2679411179.8921299</v>
      </c>
      <c r="M37" s="168">
        <f t="shared" ref="M37:M45" si="1">I37-K37</f>
        <v>18609281999.83165</v>
      </c>
      <c r="N37" s="140" t="s">
        <v>91</v>
      </c>
      <c r="O37" s="197"/>
      <c r="P37" s="8"/>
      <c r="Q37" s="5"/>
    </row>
    <row r="38" spans="1:17" ht="51.75" customHeight="1" outlineLevel="1" x14ac:dyDescent="0.25">
      <c r="A38" s="156">
        <v>21</v>
      </c>
      <c r="B38" s="179" t="s">
        <v>25</v>
      </c>
      <c r="C38" s="180" t="s">
        <v>92</v>
      </c>
      <c r="D38" s="180" t="s">
        <v>93</v>
      </c>
      <c r="E38" s="161" t="s">
        <v>317</v>
      </c>
      <c r="F38" s="159" t="s">
        <v>94</v>
      </c>
      <c r="G38" s="183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168">
        <f t="shared" si="1"/>
        <v>3.0000001192092896E-2</v>
      </c>
      <c r="N38" s="140" t="s">
        <v>76</v>
      </c>
      <c r="O38" s="197"/>
      <c r="P38" s="8"/>
      <c r="Q38" s="5"/>
    </row>
    <row r="39" spans="1:17" ht="63.75" customHeight="1" outlineLevel="1" x14ac:dyDescent="0.25">
      <c r="A39" s="156">
        <v>22</v>
      </c>
      <c r="B39" s="179" t="s">
        <v>95</v>
      </c>
      <c r="C39" s="180" t="s">
        <v>92</v>
      </c>
      <c r="D39" s="180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168">
        <f t="shared" si="1"/>
        <v>753042857.00000012</v>
      </c>
      <c r="N39" s="140" t="s">
        <v>76</v>
      </c>
      <c r="O39" s="197"/>
      <c r="P39" s="8"/>
      <c r="Q39" s="5"/>
    </row>
    <row r="40" spans="1:17" ht="63.75" customHeight="1" outlineLevel="1" x14ac:dyDescent="0.25">
      <c r="A40" s="162">
        <v>23</v>
      </c>
      <c r="B40" s="179" t="s">
        <v>95</v>
      </c>
      <c r="C40" s="163" t="s">
        <v>98</v>
      </c>
      <c r="D40" s="180" t="s">
        <v>463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166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168">
        <f t="shared" si="1"/>
        <v>15138095238</v>
      </c>
      <c r="N40" s="140" t="s">
        <v>76</v>
      </c>
      <c r="O40" s="197"/>
      <c r="P40" s="8"/>
      <c r="Q40" s="5"/>
    </row>
    <row r="41" spans="1:17" ht="63.75" customHeight="1" outlineLevel="1" x14ac:dyDescent="0.25">
      <c r="A41" s="162">
        <v>24</v>
      </c>
      <c r="B41" s="179" t="s">
        <v>95</v>
      </c>
      <c r="C41" s="163" t="s">
        <v>278</v>
      </c>
      <c r="D41" s="180" t="s">
        <v>463</v>
      </c>
      <c r="E41" s="44"/>
      <c r="F41" s="32" t="s">
        <v>265</v>
      </c>
      <c r="G41" s="40" t="s">
        <v>2</v>
      </c>
      <c r="H41" s="32">
        <v>25000000000</v>
      </c>
      <c r="I41" s="32">
        <v>25000000000</v>
      </c>
      <c r="J41" s="166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168">
        <f t="shared" si="1"/>
        <v>22619047619.099998</v>
      </c>
      <c r="N41" s="140" t="s">
        <v>76</v>
      </c>
      <c r="O41" s="197"/>
      <c r="P41" s="8"/>
      <c r="Q41" s="5"/>
    </row>
    <row r="42" spans="1:17" ht="57.75" customHeight="1" outlineLevel="1" x14ac:dyDescent="0.25">
      <c r="A42" s="532">
        <v>25</v>
      </c>
      <c r="B42" s="534" t="s">
        <v>95</v>
      </c>
      <c r="C42" s="521" t="s">
        <v>100</v>
      </c>
      <c r="D42" s="159" t="s">
        <v>472</v>
      </c>
      <c r="E42" s="541" t="s">
        <v>321</v>
      </c>
      <c r="F42" s="543" t="s">
        <v>102</v>
      </c>
      <c r="G42" s="183" t="s">
        <v>51</v>
      </c>
      <c r="H42" s="36">
        <v>270000000</v>
      </c>
      <c r="I42" s="32">
        <v>173574580.28</v>
      </c>
      <c r="J42" s="545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168">
        <f t="shared" si="1"/>
        <v>96775947.179713488</v>
      </c>
      <c r="N42" s="510" t="s">
        <v>84</v>
      </c>
      <c r="O42" s="197"/>
      <c r="P42" s="8"/>
      <c r="Q42" s="5"/>
    </row>
    <row r="43" spans="1:17" ht="57.75" customHeight="1" outlineLevel="1" x14ac:dyDescent="0.25">
      <c r="A43" s="533"/>
      <c r="B43" s="527"/>
      <c r="C43" s="528"/>
      <c r="D43" s="180" t="s">
        <v>463</v>
      </c>
      <c r="E43" s="542"/>
      <c r="F43" s="544"/>
      <c r="G43" s="40" t="s">
        <v>2</v>
      </c>
      <c r="H43" s="37">
        <v>1265847400</v>
      </c>
      <c r="I43" s="32">
        <f>9509488626+108542329</f>
        <v>9618030955</v>
      </c>
      <c r="J43" s="546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168">
        <f t="shared" si="1"/>
        <v>5311189886.7236805</v>
      </c>
      <c r="N43" s="524"/>
      <c r="O43" s="197"/>
      <c r="P43" s="8"/>
      <c r="Q43" s="5"/>
    </row>
    <row r="44" spans="1:17" ht="57.75" customHeight="1" outlineLevel="1" x14ac:dyDescent="0.25">
      <c r="A44" s="156">
        <v>26</v>
      </c>
      <c r="B44" s="179" t="s">
        <v>95</v>
      </c>
      <c r="C44" s="180" t="s">
        <v>103</v>
      </c>
      <c r="D44" s="553" t="s">
        <v>49</v>
      </c>
      <c r="E44" s="160" t="s">
        <v>322</v>
      </c>
      <c r="F44" s="185" t="s">
        <v>104</v>
      </c>
      <c r="G44" s="31" t="s">
        <v>51</v>
      </c>
      <c r="H44" s="36">
        <v>8907500</v>
      </c>
      <c r="I44" s="32">
        <v>8907384.7100000009</v>
      </c>
      <c r="J44" s="539" t="s">
        <v>368</v>
      </c>
      <c r="K44" s="32"/>
      <c r="L44" s="32">
        <f>1241236.45+96159781.6/386.38+118034920.8/403.19</f>
        <v>1782862.6500977012</v>
      </c>
      <c r="M44" s="177">
        <f t="shared" si="1"/>
        <v>8907384.7100000009</v>
      </c>
      <c r="N44" s="187" t="s">
        <v>105</v>
      </c>
      <c r="O44" s="197"/>
      <c r="P44" s="8"/>
      <c r="Q44" s="5"/>
    </row>
    <row r="45" spans="1:17" ht="78.75" customHeight="1" outlineLevel="1" thickBot="1" x14ac:dyDescent="0.3">
      <c r="A45" s="156">
        <v>27</v>
      </c>
      <c r="B45" s="157" t="s">
        <v>88</v>
      </c>
      <c r="C45" s="173" t="s">
        <v>103</v>
      </c>
      <c r="D45" s="553"/>
      <c r="E45" s="160" t="s">
        <v>323</v>
      </c>
      <c r="F45" s="51" t="s">
        <v>104</v>
      </c>
      <c r="G45" s="49" t="s">
        <v>51</v>
      </c>
      <c r="H45" s="52">
        <v>21092500</v>
      </c>
      <c r="I45" s="32">
        <v>21092210.790000003</v>
      </c>
      <c r="J45" s="540"/>
      <c r="K45" s="32"/>
      <c r="L45" s="32">
        <f>3081286.01+227668040/386.38+279535083/403.19</f>
        <v>4363828.0823399555</v>
      </c>
      <c r="M45" s="176">
        <f t="shared" si="1"/>
        <v>21092210.790000003</v>
      </c>
      <c r="N45" s="187" t="s">
        <v>106</v>
      </c>
      <c r="O45" s="196"/>
      <c r="P45" s="8"/>
      <c r="Q45" s="5"/>
    </row>
    <row r="46" spans="1:17" s="9" customFormat="1" ht="15" customHeight="1" x14ac:dyDescent="0.25">
      <c r="A46" s="496" t="s">
        <v>115</v>
      </c>
      <c r="B46" s="497"/>
      <c r="C46" s="497"/>
      <c r="D46" s="519" t="s">
        <v>29</v>
      </c>
      <c r="E46" s="519"/>
      <c r="F46" s="519"/>
      <c r="G46" s="53"/>
      <c r="H46" s="10">
        <f>SUMIF($G$5:$G$45,D46,$H$5:$H$45)</f>
        <v>275755742.28000003</v>
      </c>
      <c r="I46" s="10">
        <f>SUMIF($G$5:$G$45,D46,$I$5:$I$45)</f>
        <v>97929055.540000007</v>
      </c>
      <c r="J46" s="10"/>
      <c r="K46" s="10">
        <f>SUMIF($G$5:$G$45,D46,$K$5:$K$45)</f>
        <v>37018590.7398488</v>
      </c>
      <c r="L46" s="10">
        <f>SUMIF($G$5:$G$45,D46,$L$5:$L$45)</f>
        <v>16520985.737643212</v>
      </c>
      <c r="M46" s="10">
        <f>SUMIF($G$5:$G$45,D46,$M$5:$M$45)</f>
        <v>61672033.230151191</v>
      </c>
      <c r="N46" s="147"/>
      <c r="O46" s="193"/>
      <c r="P46" s="8"/>
      <c r="Q46" s="5"/>
    </row>
    <row r="47" spans="1:17" s="9" customFormat="1" ht="15" customHeight="1" x14ac:dyDescent="0.25">
      <c r="A47" s="485"/>
      <c r="B47" s="486"/>
      <c r="C47" s="486"/>
      <c r="D47" s="503" t="s">
        <v>2</v>
      </c>
      <c r="E47" s="503"/>
      <c r="F47" s="503"/>
      <c r="G47" s="54"/>
      <c r="H47" s="11">
        <f>SUMIF($G$5:$G$45,D47,$H$5:$H$45)</f>
        <v>48463515745.900002</v>
      </c>
      <c r="I47" s="11">
        <f>SUMIF($G$5:$G$45,D47,$I$5:$I$45)</f>
        <v>67414527580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54722513497.523682</v>
      </c>
      <c r="N47" s="148"/>
      <c r="O47" s="197"/>
      <c r="P47" s="8"/>
      <c r="Q47" s="5"/>
    </row>
    <row r="48" spans="1:17" s="9" customFormat="1" ht="15" customHeight="1" x14ac:dyDescent="0.25">
      <c r="A48" s="485"/>
      <c r="B48" s="486"/>
      <c r="C48" s="486"/>
      <c r="D48" s="503" t="s">
        <v>51</v>
      </c>
      <c r="E48" s="503"/>
      <c r="F48" s="503"/>
      <c r="G48" s="54"/>
      <c r="H48" s="11">
        <f>SUMIF($G$5:$G$45,D48,$H$5:$H$45)</f>
        <v>443654882.94000006</v>
      </c>
      <c r="I48" s="11">
        <f>SUMIF($G$5:$G$45,D48,$I$5:$I$45)</f>
        <v>327505674.97000003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223373334.11417109</v>
      </c>
      <c r="N48" s="148"/>
      <c r="O48" s="197"/>
      <c r="P48" s="8"/>
      <c r="Q48" s="5"/>
    </row>
    <row r="49" spans="1:17" s="9" customFormat="1" ht="15" customHeight="1" x14ac:dyDescent="0.25">
      <c r="A49" s="485"/>
      <c r="B49" s="486"/>
      <c r="C49" s="486"/>
      <c r="D49" s="505" t="s">
        <v>71</v>
      </c>
      <c r="E49" s="505"/>
      <c r="F49" s="505"/>
      <c r="G49" s="55"/>
      <c r="H49" s="56">
        <f>SUMIF($G$5:$G$45,D49,$H$5:$H$45)</f>
        <v>31777311969</v>
      </c>
      <c r="I49" s="56">
        <f>SUMIF($G$5:$G$45,D49,$I$5:$I$45)</f>
        <v>31859249643</v>
      </c>
      <c r="J49" s="56"/>
      <c r="K49" s="56">
        <f>SUMIF($G$5:$G$45,D49,$K$5:$K$45)</f>
        <v>11745743548.709158</v>
      </c>
      <c r="L49" s="56">
        <f>SUMIF($G$5:$G$45,D49,$L$5:$L$45)</f>
        <v>3501920555.228754</v>
      </c>
      <c r="M49" s="56">
        <f>SUMIF($G$5:$G$45,D49,$M$5:$M$45)</f>
        <v>20113506094.29084</v>
      </c>
      <c r="N49" s="149"/>
      <c r="O49" s="199"/>
      <c r="P49" s="8"/>
      <c r="Q49" s="5"/>
    </row>
    <row r="50" spans="1:17" s="9" customFormat="1" ht="15" customHeight="1" thickBot="1" x14ac:dyDescent="0.3">
      <c r="A50" s="485"/>
      <c r="B50" s="486"/>
      <c r="C50" s="486"/>
      <c r="D50" s="493" t="s">
        <v>61</v>
      </c>
      <c r="E50" s="494"/>
      <c r="F50" s="495"/>
      <c r="G50" s="57"/>
      <c r="H50" s="12">
        <f>SUMIF($G$5:$G$45,D50,$H$5:$H$45)</f>
        <v>24086688</v>
      </c>
      <c r="I50" s="12">
        <f>SUMIF($G$5:$G$45,D50,$I$5:$I$45)</f>
        <v>18384172.012149811</v>
      </c>
      <c r="J50" s="12"/>
      <c r="K50" s="12">
        <f>SUMIF($G$5:$G$45,D50,$K$5:$K$45)</f>
        <v>3889303.4021576373</v>
      </c>
      <c r="L50" s="12">
        <f>SUMIF($G$5:$G$45,D50,$L$5:$L$45)</f>
        <v>2687639.4595199237</v>
      </c>
      <c r="M50" s="12">
        <f>SUMIF($G$5:$G$45,D50,$M$5:$M$45)</f>
        <v>14494868.609992173</v>
      </c>
      <c r="N50" s="150"/>
      <c r="O50" s="196"/>
      <c r="P50" s="8"/>
      <c r="Q50" s="5"/>
    </row>
    <row r="51" spans="1:17" ht="78" customHeight="1" outlineLevel="1" x14ac:dyDescent="0.25">
      <c r="A51" s="155">
        <v>28</v>
      </c>
      <c r="B51" s="172" t="s">
        <v>116</v>
      </c>
      <c r="C51" s="157" t="s">
        <v>117</v>
      </c>
      <c r="D51" s="158" t="s">
        <v>118</v>
      </c>
      <c r="E51" s="160" t="s">
        <v>324</v>
      </c>
      <c r="F51" s="160" t="s">
        <v>119</v>
      </c>
      <c r="G51" s="31" t="s">
        <v>29</v>
      </c>
      <c r="H51" s="185">
        <v>5000000</v>
      </c>
      <c r="I51" s="185">
        <v>5000000</v>
      </c>
      <c r="J51" s="167" t="s">
        <v>120</v>
      </c>
      <c r="K51" s="185">
        <f>4166666.69+208333.33+88124985.9/423</f>
        <v>4583333.3199999994</v>
      </c>
      <c r="L51" s="185">
        <f>553011.29+6019459.2/423</f>
        <v>567241.69000000006</v>
      </c>
      <c r="M51" s="185">
        <f t="shared" ref="M51:M56" si="2">I51-K51</f>
        <v>416666.68000000063</v>
      </c>
      <c r="N51" s="189" t="s">
        <v>76</v>
      </c>
      <c r="O51" s="193"/>
      <c r="Q51" s="5"/>
    </row>
    <row r="52" spans="1:17" ht="71.25" customHeight="1" outlineLevel="1" x14ac:dyDescent="0.25">
      <c r="A52" s="162">
        <v>29</v>
      </c>
      <c r="B52" s="534" t="s">
        <v>121</v>
      </c>
      <c r="C52" s="163" t="s">
        <v>122</v>
      </c>
      <c r="D52" s="165" t="s">
        <v>118</v>
      </c>
      <c r="E52" s="164" t="s">
        <v>325</v>
      </c>
      <c r="F52" s="164" t="s">
        <v>123</v>
      </c>
      <c r="G52" s="183" t="s">
        <v>29</v>
      </c>
      <c r="H52" s="32">
        <v>5000000</v>
      </c>
      <c r="I52" s="32">
        <v>5000000</v>
      </c>
      <c r="J52" s="166" t="s">
        <v>120</v>
      </c>
      <c r="K52" s="32">
        <f>3125000+208333.33+88124985.9/423</f>
        <v>3541666.63</v>
      </c>
      <c r="L52" s="32">
        <f>320254.8+16091046.9/423</f>
        <v>358295.1</v>
      </c>
      <c r="M52" s="32">
        <f t="shared" si="2"/>
        <v>1458333.37</v>
      </c>
      <c r="N52" s="521" t="s">
        <v>76</v>
      </c>
      <c r="O52" s="197"/>
      <c r="Q52" s="5"/>
    </row>
    <row r="53" spans="1:17" ht="71.25" customHeight="1" outlineLevel="1" x14ac:dyDescent="0.25">
      <c r="A53" s="162">
        <v>30</v>
      </c>
      <c r="B53" s="527"/>
      <c r="C53" s="163"/>
      <c r="D53" s="165" t="s">
        <v>463</v>
      </c>
      <c r="E53" s="164"/>
      <c r="F53" s="164"/>
      <c r="G53" s="47" t="s">
        <v>2</v>
      </c>
      <c r="H53" s="32"/>
      <c r="I53" s="32">
        <v>66094595</v>
      </c>
      <c r="J53" s="166"/>
      <c r="K53" s="32">
        <f>6609471.44+6609433.4+6609473.7</f>
        <v>19828378.539999999</v>
      </c>
      <c r="L53" s="32">
        <f>1088882.59773529+1190830.4</f>
        <v>2279712.9977352899</v>
      </c>
      <c r="M53" s="32">
        <f t="shared" si="2"/>
        <v>46266216.460000001</v>
      </c>
      <c r="N53" s="528"/>
      <c r="O53" s="197"/>
      <c r="Q53" s="5"/>
    </row>
    <row r="54" spans="1:17" ht="55.5" customHeight="1" outlineLevel="1" x14ac:dyDescent="0.25">
      <c r="A54" s="156">
        <v>31</v>
      </c>
      <c r="B54" s="179" t="s">
        <v>124</v>
      </c>
      <c r="C54" s="180" t="s">
        <v>125</v>
      </c>
      <c r="D54" s="159" t="s">
        <v>126</v>
      </c>
      <c r="E54" s="161" t="s">
        <v>326</v>
      </c>
      <c r="F54" s="161" t="s">
        <v>127</v>
      </c>
      <c r="G54" s="183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</f>
        <v>3681818.1401287005</v>
      </c>
      <c r="L54" s="32">
        <v>475298.33641151118</v>
      </c>
      <c r="M54" s="32">
        <f t="shared" si="2"/>
        <v>1318181.8598712995</v>
      </c>
      <c r="N54" s="140" t="s">
        <v>76</v>
      </c>
      <c r="O54" s="197"/>
      <c r="Q54" s="5"/>
    </row>
    <row r="55" spans="1:17" ht="57" customHeight="1" outlineLevel="1" x14ac:dyDescent="0.25">
      <c r="A55" s="532">
        <v>32</v>
      </c>
      <c r="B55" s="534" t="s">
        <v>128</v>
      </c>
      <c r="C55" s="521" t="s">
        <v>129</v>
      </c>
      <c r="D55" s="165" t="s">
        <v>126</v>
      </c>
      <c r="E55" s="164" t="s">
        <v>327</v>
      </c>
      <c r="F55" s="164" t="s">
        <v>130</v>
      </c>
      <c r="G55" s="47" t="s">
        <v>29</v>
      </c>
      <c r="H55" s="184">
        <v>5000000</v>
      </c>
      <c r="I55" s="32">
        <v>3000000</v>
      </c>
      <c r="J55" s="45" t="s">
        <v>279</v>
      </c>
      <c r="K55" s="32">
        <f>676724.137931034+46797420.6/423</f>
        <v>787356.33793103392</v>
      </c>
      <c r="L55" s="32">
        <f>222742.9+6254858.7/423</f>
        <v>237529.8</v>
      </c>
      <c r="M55" s="184">
        <f t="shared" si="2"/>
        <v>2212643.6620689658</v>
      </c>
      <c r="N55" s="510" t="s">
        <v>76</v>
      </c>
      <c r="O55" s="197"/>
      <c r="Q55" s="5"/>
    </row>
    <row r="56" spans="1:17" ht="57" customHeight="1" outlineLevel="1" thickBot="1" x14ac:dyDescent="0.3">
      <c r="A56" s="536"/>
      <c r="B56" s="537"/>
      <c r="C56" s="538"/>
      <c r="D56" s="165" t="s">
        <v>463</v>
      </c>
      <c r="E56" s="164" t="s">
        <v>327</v>
      </c>
      <c r="F56" s="164" t="s">
        <v>266</v>
      </c>
      <c r="G56" s="47" t="s">
        <v>2</v>
      </c>
      <c r="H56" s="184"/>
      <c r="I56" s="32">
        <v>69055257.109999999</v>
      </c>
      <c r="J56" s="45">
        <v>1.404E-2</v>
      </c>
      <c r="K56" s="32">
        <f>9751561.92837819+3148517</f>
        <v>12900078.928378191</v>
      </c>
      <c r="L56" s="32">
        <f>1328413.8+491137.6</f>
        <v>1819551.4</v>
      </c>
      <c r="M56" s="184">
        <f t="shared" si="2"/>
        <v>56155178.181621805</v>
      </c>
      <c r="N56" s="516"/>
      <c r="O56" s="196"/>
      <c r="Q56" s="5"/>
    </row>
    <row r="57" spans="1:17" s="9" customFormat="1" ht="15" customHeight="1" x14ac:dyDescent="0.25">
      <c r="A57" s="496" t="s">
        <v>131</v>
      </c>
      <c r="B57" s="497"/>
      <c r="C57" s="497"/>
      <c r="D57" s="519" t="s">
        <v>29</v>
      </c>
      <c r="E57" s="519"/>
      <c r="F57" s="519"/>
      <c r="G57" s="53"/>
      <c r="H57" s="10">
        <f>SUMIF($G$51:$G$56,D57,$H$51:$H$56)</f>
        <v>20000000</v>
      </c>
      <c r="I57" s="10">
        <f>SUMIF($G$51:$G$56,D57,$I$51:$I$56)</f>
        <v>18000000</v>
      </c>
      <c r="J57" s="13"/>
      <c r="K57" s="10">
        <f>SUMIF($G$51:$G$56,D57,$K$51:$K$56)</f>
        <v>12594174.428059733</v>
      </c>
      <c r="L57" s="10">
        <f>SUMIF($G$51:$G$56,D57,$L$51:$L$56)</f>
        <v>1638364.9264115111</v>
      </c>
      <c r="M57" s="10">
        <f>SUMIF($G$51:$G$56,D57,$M$51:$M$56)</f>
        <v>5405825.5719402656</v>
      </c>
      <c r="N57" s="147"/>
      <c r="O57" s="193"/>
      <c r="P57" s="8"/>
      <c r="Q57" s="5"/>
    </row>
    <row r="58" spans="1:17" s="9" customFormat="1" ht="15" customHeight="1" x14ac:dyDescent="0.25">
      <c r="A58" s="485"/>
      <c r="B58" s="486"/>
      <c r="C58" s="486"/>
      <c r="D58" s="503" t="s">
        <v>2</v>
      </c>
      <c r="E58" s="503"/>
      <c r="F58" s="503"/>
      <c r="G58" s="54"/>
      <c r="H58" s="11">
        <f>SUMIF($G$51:$G$56,D58,$H$51:$H$56)</f>
        <v>0</v>
      </c>
      <c r="I58" s="11">
        <f>SUMIF($G$51:$G$56,D58,$I$51:$I$56)</f>
        <v>135149852.11000001</v>
      </c>
      <c r="J58" s="11"/>
      <c r="K58" s="11">
        <f>SUMIF($G$51:$G$56,D58,$K$51:$K$56)</f>
        <v>32728457.46837819</v>
      </c>
      <c r="L58" s="11">
        <f>SUMIF($G$51:$G$56,D58,$L$51:$L$56)</f>
        <v>4099264.3977352898</v>
      </c>
      <c r="M58" s="11">
        <f>SUMIF($G$51:$G$56,D58,$M$51:$M$56)</f>
        <v>102421394.6416218</v>
      </c>
      <c r="N58" s="148"/>
      <c r="O58" s="197"/>
      <c r="P58" s="8"/>
      <c r="Q58" s="5"/>
    </row>
    <row r="59" spans="1:17" s="9" customFormat="1" ht="15" customHeight="1" x14ac:dyDescent="0.25">
      <c r="A59" s="485"/>
      <c r="B59" s="486"/>
      <c r="C59" s="486"/>
      <c r="D59" s="503" t="s">
        <v>51</v>
      </c>
      <c r="E59" s="503"/>
      <c r="F59" s="503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48"/>
      <c r="O59" s="197"/>
      <c r="P59" s="8"/>
      <c r="Q59" s="5"/>
    </row>
    <row r="60" spans="1:17" s="9" customFormat="1" ht="15" customHeight="1" thickBot="1" x14ac:dyDescent="0.3">
      <c r="A60" s="506"/>
      <c r="B60" s="507"/>
      <c r="C60" s="507"/>
      <c r="D60" s="520" t="s">
        <v>71</v>
      </c>
      <c r="E60" s="520"/>
      <c r="F60" s="520"/>
      <c r="G60" s="57"/>
      <c r="H60" s="12">
        <f>SUMIF($G$51:$G$56,D60,$H$51:$H$56)</f>
        <v>0</v>
      </c>
      <c r="I60" s="12">
        <f>SUMIF($G$51:$G$56,D60,$I$51:$I$56)</f>
        <v>0</v>
      </c>
      <c r="J60" s="12"/>
      <c r="K60" s="12">
        <f>SUMIF($G$51:$G$56,D60,$K$51:$K$56)</f>
        <v>0</v>
      </c>
      <c r="L60" s="12">
        <f>SUMIF($G$51:$G$56,D60,$L$51:$L$56)</f>
        <v>0</v>
      </c>
      <c r="M60" s="12">
        <f>SUMIF($G$51:$G$56,D60,$M$51:$M$56)</f>
        <v>0</v>
      </c>
      <c r="N60" s="150"/>
      <c r="O60" s="196"/>
      <c r="P60" s="8"/>
      <c r="Q60" s="5"/>
    </row>
    <row r="61" spans="1:17" s="2" customFormat="1" ht="91.5" customHeight="1" outlineLevel="1" x14ac:dyDescent="0.25">
      <c r="A61" s="156">
        <v>33</v>
      </c>
      <c r="B61" s="180" t="s">
        <v>132</v>
      </c>
      <c r="C61" s="180" t="s">
        <v>133</v>
      </c>
      <c r="D61" s="180" t="s">
        <v>473</v>
      </c>
      <c r="E61" s="58" t="s">
        <v>328</v>
      </c>
      <c r="F61" s="180" t="s">
        <v>134</v>
      </c>
      <c r="G61" s="180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</f>
        <v>27972746237.100002</v>
      </c>
      <c r="M61" s="168">
        <f>I61-K61</f>
        <v>8809523809.2999802</v>
      </c>
      <c r="N61" s="140" t="s">
        <v>76</v>
      </c>
      <c r="O61" s="200" t="s">
        <v>474</v>
      </c>
      <c r="P61" s="1"/>
      <c r="Q61" s="5"/>
    </row>
    <row r="62" spans="1:17" s="2" customFormat="1" ht="91.5" customHeight="1" outlineLevel="1" x14ac:dyDescent="0.25">
      <c r="A62" s="156">
        <v>34</v>
      </c>
      <c r="B62" s="180" t="s">
        <v>132</v>
      </c>
      <c r="C62" s="180" t="s">
        <v>136</v>
      </c>
      <c r="D62" s="180" t="s">
        <v>27</v>
      </c>
      <c r="E62" s="58" t="s">
        <v>329</v>
      </c>
      <c r="F62" s="180" t="s">
        <v>137</v>
      </c>
      <c r="G62" s="180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168">
        <f t="shared" ref="M62:M67" si="3">I62-K62</f>
        <v>2035890300</v>
      </c>
      <c r="N62" s="140" t="s">
        <v>76</v>
      </c>
      <c r="O62" s="197"/>
      <c r="P62" s="1"/>
      <c r="Q62" s="5"/>
    </row>
    <row r="63" spans="1:17" ht="121.5" outlineLevel="1" x14ac:dyDescent="0.25">
      <c r="A63" s="155">
        <v>35</v>
      </c>
      <c r="B63" s="179" t="s">
        <v>138</v>
      </c>
      <c r="C63" s="180" t="s">
        <v>139</v>
      </c>
      <c r="D63" s="159" t="s">
        <v>27</v>
      </c>
      <c r="E63" s="161" t="s">
        <v>330</v>
      </c>
      <c r="F63" s="159" t="s">
        <v>140</v>
      </c>
      <c r="G63" s="183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168">
        <f t="shared" si="3"/>
        <v>2514000</v>
      </c>
      <c r="N63" s="140" t="s">
        <v>76</v>
      </c>
      <c r="O63" s="197"/>
      <c r="Q63" s="5"/>
    </row>
    <row r="64" spans="1:17" ht="69" customHeight="1" outlineLevel="1" x14ac:dyDescent="0.25">
      <c r="A64" s="156">
        <v>36</v>
      </c>
      <c r="B64" s="179" t="s">
        <v>141</v>
      </c>
      <c r="C64" s="180" t="s">
        <v>142</v>
      </c>
      <c r="D64" s="180" t="s">
        <v>143</v>
      </c>
      <c r="E64" s="169" t="s">
        <v>331</v>
      </c>
      <c r="F64" s="159" t="s">
        <v>144</v>
      </c>
      <c r="G64" s="183" t="s">
        <v>51</v>
      </c>
      <c r="H64" s="168">
        <v>1689937.9</v>
      </c>
      <c r="I64" s="32">
        <v>1689937.9</v>
      </c>
      <c r="J64" s="181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168">
        <f t="shared" si="3"/>
        <v>760802.66999999993</v>
      </c>
      <c r="N64" s="142" t="s">
        <v>76</v>
      </c>
      <c r="O64" s="197"/>
      <c r="Q64" s="5"/>
    </row>
    <row r="65" spans="1:17" ht="69.75" customHeight="1" outlineLevel="1" x14ac:dyDescent="0.25">
      <c r="A65" s="155">
        <v>37</v>
      </c>
      <c r="B65" s="179" t="s">
        <v>145</v>
      </c>
      <c r="C65" s="180" t="s">
        <v>146</v>
      </c>
      <c r="D65" s="180" t="s">
        <v>143</v>
      </c>
      <c r="E65" s="169" t="s">
        <v>332</v>
      </c>
      <c r="F65" s="159" t="s">
        <v>147</v>
      </c>
      <c r="G65" s="183" t="s">
        <v>51</v>
      </c>
      <c r="H65" s="168">
        <v>2828000</v>
      </c>
      <c r="I65" s="32">
        <v>2828000</v>
      </c>
      <c r="J65" s="181">
        <v>5.9900000000000002E-2</v>
      </c>
      <c r="K65" s="168">
        <f>1128831.5+47000</f>
        <v>1175831.5</v>
      </c>
      <c r="L65" s="32">
        <f>1731608.85+50775.51</f>
        <v>1782384.36</v>
      </c>
      <c r="M65" s="168">
        <f t="shared" si="3"/>
        <v>1652168.5</v>
      </c>
      <c r="N65" s="142" t="s">
        <v>76</v>
      </c>
      <c r="O65" s="197"/>
      <c r="Q65" s="5"/>
    </row>
    <row r="66" spans="1:17" s="4" customFormat="1" ht="177" customHeight="1" outlineLevel="1" x14ac:dyDescent="0.25">
      <c r="A66" s="156">
        <v>38</v>
      </c>
      <c r="B66" s="179" t="s">
        <v>148</v>
      </c>
      <c r="C66" s="180" t="s">
        <v>149</v>
      </c>
      <c r="D66" s="180" t="s">
        <v>143</v>
      </c>
      <c r="E66" s="159" t="s">
        <v>333</v>
      </c>
      <c r="F66" s="159" t="s">
        <v>150</v>
      </c>
      <c r="G66" s="180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168">
        <f t="shared" si="3"/>
        <v>1631050848.9000001</v>
      </c>
      <c r="N66" s="142" t="s">
        <v>76</v>
      </c>
      <c r="O66" s="197"/>
      <c r="P66" s="3"/>
      <c r="Q66" s="5"/>
    </row>
    <row r="67" spans="1:17" s="4" customFormat="1" ht="169.5" customHeight="1" outlineLevel="1" thickBot="1" x14ac:dyDescent="0.3">
      <c r="A67" s="155">
        <v>39</v>
      </c>
      <c r="B67" s="179" t="s">
        <v>148</v>
      </c>
      <c r="C67" s="180" t="s">
        <v>151</v>
      </c>
      <c r="D67" s="180" t="s">
        <v>143</v>
      </c>
      <c r="E67" s="159" t="s">
        <v>334</v>
      </c>
      <c r="F67" s="159" t="s">
        <v>152</v>
      </c>
      <c r="G67" s="159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168">
        <f t="shared" si="3"/>
        <v>2187306400</v>
      </c>
      <c r="N67" s="142" t="s">
        <v>76</v>
      </c>
      <c r="O67" s="196"/>
      <c r="P67" s="3"/>
      <c r="Q67" s="5"/>
    </row>
    <row r="68" spans="1:17" s="9" customFormat="1" ht="15" customHeight="1" x14ac:dyDescent="0.25">
      <c r="A68" s="496" t="s">
        <v>153</v>
      </c>
      <c r="B68" s="497"/>
      <c r="C68" s="497"/>
      <c r="D68" s="519" t="s">
        <v>29</v>
      </c>
      <c r="E68" s="519"/>
      <c r="F68" s="519"/>
      <c r="G68" s="53"/>
      <c r="H68" s="13">
        <f>SUMIF($G$61:$G$67,D68,$H$61:$H$67)</f>
        <v>3500000</v>
      </c>
      <c r="I68" s="13">
        <f>SUMIF($G$61:$G$67,D68,$I$61:$I$67)</f>
        <v>3500000</v>
      </c>
      <c r="J68" s="13"/>
      <c r="K68" s="13">
        <f>SUMIF($G$61:$G$67,D68,$K$61:$K$67)</f>
        <v>986000</v>
      </c>
      <c r="L68" s="13">
        <f>SUMIF($G$61:$G$67,D68,$L$61:$L$67)</f>
        <v>449992.92246187496</v>
      </c>
      <c r="M68" s="13">
        <f>SUMIF($G$61:$G$67,D68,$M$61:$M$67)</f>
        <v>2514000</v>
      </c>
      <c r="N68" s="147"/>
      <c r="O68" s="193"/>
      <c r="P68" s="8"/>
      <c r="Q68" s="5"/>
    </row>
    <row r="69" spans="1:17" s="9" customFormat="1" ht="15" customHeight="1" x14ac:dyDescent="0.25">
      <c r="A69" s="485"/>
      <c r="B69" s="486"/>
      <c r="C69" s="486"/>
      <c r="D69" s="503" t="s">
        <v>2</v>
      </c>
      <c r="E69" s="503"/>
      <c r="F69" s="503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28773861055.57</v>
      </c>
      <c r="M69" s="11">
        <f>SUMIF($G$61:$G$67,D69,$M$61:$M$67)</f>
        <v>14663771358.19998</v>
      </c>
      <c r="N69" s="148"/>
      <c r="O69" s="197"/>
      <c r="P69" s="8"/>
      <c r="Q69" s="5"/>
    </row>
    <row r="70" spans="1:17" s="9" customFormat="1" ht="15" customHeight="1" x14ac:dyDescent="0.25">
      <c r="A70" s="485"/>
      <c r="B70" s="486"/>
      <c r="C70" s="486"/>
      <c r="D70" s="503" t="s">
        <v>51</v>
      </c>
      <c r="E70" s="503"/>
      <c r="F70" s="503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2104966.73</v>
      </c>
      <c r="L70" s="11">
        <f>SUMIF($G$61:$G$67,D70,$L$61:$L$67)</f>
        <v>3797706.99</v>
      </c>
      <c r="M70" s="11">
        <f>SUMIF($G$61:$G$67,D70,$M$61:$M$67)</f>
        <v>2412971.17</v>
      </c>
      <c r="N70" s="148"/>
      <c r="O70" s="197"/>
      <c r="P70" s="8"/>
      <c r="Q70" s="5"/>
    </row>
    <row r="71" spans="1:17" s="9" customFormat="1" ht="15" thickBot="1" x14ac:dyDescent="0.3">
      <c r="A71" s="506"/>
      <c r="B71" s="507"/>
      <c r="C71" s="507"/>
      <c r="D71" s="520" t="s">
        <v>71</v>
      </c>
      <c r="E71" s="520"/>
      <c r="F71" s="520"/>
      <c r="G71" s="57"/>
      <c r="H71" s="12">
        <f>SUMIF($G$61:$G$67,D71,$H$61:$H$67)</f>
        <v>0</v>
      </c>
      <c r="I71" s="12">
        <f>SUMIF($G$61:$G$67,D71,$I$61:$I$67)</f>
        <v>0</v>
      </c>
      <c r="J71" s="12"/>
      <c r="K71" s="12">
        <f>SUMIF($G$61:$G$67,D71,$K$61:$K$67)</f>
        <v>0</v>
      </c>
      <c r="L71" s="12">
        <f>SUMIF($G$61:$G$67,D71,$L$61:$L$67)</f>
        <v>0</v>
      </c>
      <c r="M71" s="12">
        <f>SUMIF($G$61:$G$67,D71,$M$61:$M$67)</f>
        <v>0</v>
      </c>
      <c r="N71" s="150"/>
      <c r="O71" s="196"/>
      <c r="P71" s="8"/>
      <c r="Q71" s="5"/>
    </row>
    <row r="72" spans="1:17" s="2" customFormat="1" ht="77.25" customHeight="1" outlineLevel="1" x14ac:dyDescent="0.25">
      <c r="A72" s="156">
        <v>40</v>
      </c>
      <c r="B72" s="179" t="s">
        <v>154</v>
      </c>
      <c r="C72" s="180" t="s">
        <v>155</v>
      </c>
      <c r="D72" s="180" t="s">
        <v>93</v>
      </c>
      <c r="E72" s="180" t="s">
        <v>335</v>
      </c>
      <c r="F72" s="180" t="s">
        <v>156</v>
      </c>
      <c r="G72" s="183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168">
        <f>I72-K72</f>
        <v>142301</v>
      </c>
      <c r="N72" s="140" t="s">
        <v>157</v>
      </c>
      <c r="O72" s="201" t="s">
        <v>475</v>
      </c>
      <c r="P72" s="1"/>
      <c r="Q72" s="5"/>
    </row>
    <row r="73" spans="1:17" ht="64.5" customHeight="1" outlineLevel="1" x14ac:dyDescent="0.25">
      <c r="A73" s="156">
        <v>41</v>
      </c>
      <c r="B73" s="179" t="s">
        <v>158</v>
      </c>
      <c r="C73" s="180" t="s">
        <v>159</v>
      </c>
      <c r="D73" s="165" t="s">
        <v>118</v>
      </c>
      <c r="E73" s="161" t="s">
        <v>336</v>
      </c>
      <c r="F73" s="32" t="s">
        <v>160</v>
      </c>
      <c r="G73" s="183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</f>
        <v>29090.971703756208</v>
      </c>
      <c r="L73" s="32">
        <f>105386.95+361.72+42360.02+4761284/392.76+5116448/427.35+12019.8</f>
        <v>184223.61988818215</v>
      </c>
      <c r="M73" s="168">
        <f>I73-K73</f>
        <v>50909.028296243792</v>
      </c>
      <c r="N73" s="140" t="s">
        <v>161</v>
      </c>
      <c r="O73" s="197"/>
      <c r="Q73" s="5"/>
    </row>
    <row r="74" spans="1:17" ht="53.25" customHeight="1" outlineLevel="1" x14ac:dyDescent="0.25">
      <c r="A74" s="156">
        <v>42</v>
      </c>
      <c r="B74" s="179" t="s">
        <v>158</v>
      </c>
      <c r="C74" s="180" t="s">
        <v>162</v>
      </c>
      <c r="D74" s="165" t="s">
        <v>126</v>
      </c>
      <c r="E74" s="161" t="s">
        <v>337</v>
      </c>
      <c r="F74" s="32" t="s">
        <v>160</v>
      </c>
      <c r="G74" s="183" t="s">
        <v>29</v>
      </c>
      <c r="H74" s="32">
        <v>8000000</v>
      </c>
      <c r="I74" s="32"/>
      <c r="J74" s="35" t="s">
        <v>44</v>
      </c>
      <c r="K74" s="32"/>
      <c r="L74" s="32"/>
      <c r="M74" s="168">
        <f>I74-K74</f>
        <v>0</v>
      </c>
      <c r="N74" s="140" t="s">
        <v>161</v>
      </c>
      <c r="O74" s="197"/>
      <c r="Q74" s="5"/>
    </row>
    <row r="75" spans="1:17" ht="53.25" customHeight="1" outlineLevel="1" x14ac:dyDescent="0.25">
      <c r="A75" s="532">
        <v>43</v>
      </c>
      <c r="B75" s="534" t="s">
        <v>163</v>
      </c>
      <c r="C75" s="521" t="s">
        <v>264</v>
      </c>
      <c r="D75" s="165" t="s">
        <v>118</v>
      </c>
      <c r="E75" s="161" t="s">
        <v>338</v>
      </c>
      <c r="F75" s="521" t="s">
        <v>281</v>
      </c>
      <c r="G75" s="183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168">
        <f t="shared" ref="M75:M97" si="4">I75-K75</f>
        <v>2423571.5699999998</v>
      </c>
      <c r="N75" s="140" t="s">
        <v>76</v>
      </c>
      <c r="O75" s="202" t="s">
        <v>476</v>
      </c>
      <c r="Q75" s="5"/>
    </row>
    <row r="76" spans="1:17" ht="31.5" customHeight="1" outlineLevel="1" x14ac:dyDescent="0.25">
      <c r="A76" s="533"/>
      <c r="B76" s="527"/>
      <c r="C76" s="528"/>
      <c r="D76" s="165" t="s">
        <v>463</v>
      </c>
      <c r="E76" s="161"/>
      <c r="F76" s="528"/>
      <c r="G76" s="159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168">
        <f t="shared" si="4"/>
        <v>221383583</v>
      </c>
      <c r="N76" s="140"/>
      <c r="O76" s="197"/>
      <c r="Q76" s="5"/>
    </row>
    <row r="77" spans="1:17" ht="54" outlineLevel="1" x14ac:dyDescent="0.25">
      <c r="A77" s="156">
        <v>44</v>
      </c>
      <c r="B77" s="179" t="s">
        <v>164</v>
      </c>
      <c r="C77" s="180" t="s">
        <v>165</v>
      </c>
      <c r="D77" s="180" t="s">
        <v>463</v>
      </c>
      <c r="E77" s="161" t="s">
        <v>339</v>
      </c>
      <c r="F77" s="32" t="s">
        <v>166</v>
      </c>
      <c r="G77" s="159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168">
        <f t="shared" si="4"/>
        <v>206418107.09999999</v>
      </c>
      <c r="N77" s="140" t="s">
        <v>76</v>
      </c>
      <c r="O77" s="197"/>
      <c r="Q77" s="5"/>
    </row>
    <row r="78" spans="1:17" ht="148.5" outlineLevel="1" x14ac:dyDescent="0.25">
      <c r="A78" s="156">
        <v>45</v>
      </c>
      <c r="B78" s="171" t="s">
        <v>107</v>
      </c>
      <c r="C78" s="163" t="s">
        <v>108</v>
      </c>
      <c r="D78" s="165" t="s">
        <v>101</v>
      </c>
      <c r="E78" s="164" t="s">
        <v>340</v>
      </c>
      <c r="F78" s="184" t="s">
        <v>109</v>
      </c>
      <c r="G78" s="183" t="s">
        <v>51</v>
      </c>
      <c r="H78" s="32">
        <v>4000000</v>
      </c>
      <c r="I78" s="32">
        <v>817235.07</v>
      </c>
      <c r="J78" s="35" t="s">
        <v>44</v>
      </c>
      <c r="K78" s="32">
        <f>465353.9+34986668/397.71</f>
        <v>553324.19996731286</v>
      </c>
      <c r="L78" s="32">
        <f>188098.2+7483550/397.71</f>
        <v>206914.80003520154</v>
      </c>
      <c r="M78" s="176">
        <f>I78-K78</f>
        <v>263910.87003268709</v>
      </c>
      <c r="N78" s="163" t="s">
        <v>110</v>
      </c>
      <c r="O78" s="203"/>
      <c r="Q78" s="5"/>
    </row>
    <row r="79" spans="1:17" s="4" customFormat="1" ht="40.5" outlineLevel="1" x14ac:dyDescent="0.25">
      <c r="A79" s="156">
        <v>46</v>
      </c>
      <c r="B79" s="179" t="s">
        <v>167</v>
      </c>
      <c r="C79" s="180" t="s">
        <v>133</v>
      </c>
      <c r="D79" s="159" t="s">
        <v>473</v>
      </c>
      <c r="E79" s="159" t="s">
        <v>341</v>
      </c>
      <c r="F79" s="159" t="s">
        <v>291</v>
      </c>
      <c r="G79" s="159" t="s">
        <v>2</v>
      </c>
      <c r="H79" s="60">
        <v>50600000</v>
      </c>
      <c r="I79" s="32">
        <v>50600000</v>
      </c>
      <c r="J79" s="179" t="s">
        <v>168</v>
      </c>
      <c r="K79" s="32"/>
      <c r="L79" s="32"/>
      <c r="M79" s="60">
        <f t="shared" si="4"/>
        <v>50600000</v>
      </c>
      <c r="N79" s="140" t="s">
        <v>76</v>
      </c>
      <c r="O79" s="202" t="s">
        <v>477</v>
      </c>
      <c r="P79" s="3"/>
      <c r="Q79" s="5"/>
    </row>
    <row r="80" spans="1:17" s="4" customFormat="1" ht="40.5" outlineLevel="1" x14ac:dyDescent="0.25">
      <c r="A80" s="156">
        <v>47</v>
      </c>
      <c r="B80" s="179" t="s">
        <v>167</v>
      </c>
      <c r="C80" s="180" t="s">
        <v>133</v>
      </c>
      <c r="D80" s="159" t="s">
        <v>473</v>
      </c>
      <c r="E80" s="159" t="s">
        <v>342</v>
      </c>
      <c r="F80" s="159" t="s">
        <v>292</v>
      </c>
      <c r="G80" s="180" t="s">
        <v>2</v>
      </c>
      <c r="H80" s="60">
        <v>1100000000</v>
      </c>
      <c r="I80" s="32">
        <v>1100000000</v>
      </c>
      <c r="J80" s="179" t="s">
        <v>168</v>
      </c>
      <c r="K80" s="32"/>
      <c r="L80" s="32"/>
      <c r="M80" s="60">
        <f t="shared" si="4"/>
        <v>1100000000</v>
      </c>
      <c r="N80" s="534" t="s">
        <v>267</v>
      </c>
      <c r="O80" s="202" t="s">
        <v>477</v>
      </c>
      <c r="P80" s="3"/>
      <c r="Q80" s="5"/>
    </row>
    <row r="81" spans="1:17" s="4" customFormat="1" ht="40.5" outlineLevel="1" x14ac:dyDescent="0.25">
      <c r="A81" s="156">
        <v>48</v>
      </c>
      <c r="B81" s="179" t="s">
        <v>167</v>
      </c>
      <c r="C81" s="180" t="s">
        <v>133</v>
      </c>
      <c r="D81" s="159" t="s">
        <v>473</v>
      </c>
      <c r="E81" s="159" t="s">
        <v>343</v>
      </c>
      <c r="F81" s="159" t="s">
        <v>293</v>
      </c>
      <c r="G81" s="180" t="s">
        <v>2</v>
      </c>
      <c r="H81" s="60">
        <v>792386600</v>
      </c>
      <c r="I81" s="32">
        <v>791031693</v>
      </c>
      <c r="J81" s="179" t="s">
        <v>168</v>
      </c>
      <c r="K81" s="32"/>
      <c r="L81" s="32"/>
      <c r="M81" s="60">
        <f t="shared" si="4"/>
        <v>791031693</v>
      </c>
      <c r="N81" s="526"/>
      <c r="O81" s="202" t="s">
        <v>477</v>
      </c>
      <c r="P81" s="3"/>
      <c r="Q81" s="5"/>
    </row>
    <row r="82" spans="1:17" s="4" customFormat="1" ht="40.5" outlineLevel="1" x14ac:dyDescent="0.25">
      <c r="A82" s="156">
        <v>49</v>
      </c>
      <c r="B82" s="179" t="s">
        <v>167</v>
      </c>
      <c r="C82" s="180" t="s">
        <v>133</v>
      </c>
      <c r="D82" s="159" t="s">
        <v>473</v>
      </c>
      <c r="E82" s="159" t="s">
        <v>344</v>
      </c>
      <c r="F82" s="159" t="s">
        <v>294</v>
      </c>
      <c r="G82" s="180" t="s">
        <v>2</v>
      </c>
      <c r="H82" s="60">
        <v>254672300</v>
      </c>
      <c r="I82" s="32">
        <f>168444408+75498000+5196300+5196300</f>
        <v>254335008</v>
      </c>
      <c r="J82" s="179" t="s">
        <v>168</v>
      </c>
      <c r="K82" s="32"/>
      <c r="L82" s="32"/>
      <c r="M82" s="60">
        <f t="shared" si="4"/>
        <v>254335008</v>
      </c>
      <c r="N82" s="527"/>
      <c r="O82" s="202" t="s">
        <v>477</v>
      </c>
      <c r="P82" s="3"/>
      <c r="Q82" s="5"/>
    </row>
    <row r="83" spans="1:17" s="4" customFormat="1" ht="40.5" outlineLevel="1" x14ac:dyDescent="0.25">
      <c r="A83" s="156">
        <v>50</v>
      </c>
      <c r="B83" s="179" t="s">
        <v>169</v>
      </c>
      <c r="C83" s="180" t="s">
        <v>133</v>
      </c>
      <c r="D83" s="159" t="s">
        <v>463</v>
      </c>
      <c r="E83" s="159" t="s">
        <v>345</v>
      </c>
      <c r="F83" s="159" t="s">
        <v>170</v>
      </c>
      <c r="G83" s="180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142" t="s">
        <v>171</v>
      </c>
      <c r="O83" s="204" t="s">
        <v>478</v>
      </c>
      <c r="P83" s="3"/>
      <c r="Q83" s="5"/>
    </row>
    <row r="84" spans="1:17" s="4" customFormat="1" ht="40.5" outlineLevel="1" x14ac:dyDescent="0.25">
      <c r="A84" s="156">
        <v>51</v>
      </c>
      <c r="B84" s="179" t="s">
        <v>172</v>
      </c>
      <c r="C84" s="180" t="s">
        <v>173</v>
      </c>
      <c r="D84" s="159" t="s">
        <v>463</v>
      </c>
      <c r="E84" s="159" t="s">
        <v>346</v>
      </c>
      <c r="F84" s="159" t="s">
        <v>174</v>
      </c>
      <c r="G84" s="180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142" t="s">
        <v>76</v>
      </c>
      <c r="O84" s="202" t="s">
        <v>479</v>
      </c>
      <c r="P84" s="3"/>
      <c r="Q84" s="5"/>
    </row>
    <row r="85" spans="1:17" ht="94.5" outlineLevel="1" x14ac:dyDescent="0.25">
      <c r="A85" s="156">
        <v>52</v>
      </c>
      <c r="B85" s="171" t="s">
        <v>175</v>
      </c>
      <c r="C85" s="163" t="s">
        <v>173</v>
      </c>
      <c r="D85" s="163" t="s">
        <v>143</v>
      </c>
      <c r="E85" s="180" t="s">
        <v>347</v>
      </c>
      <c r="F85" s="180" t="s">
        <v>176</v>
      </c>
      <c r="G85" s="180" t="s">
        <v>51</v>
      </c>
      <c r="H85" s="64">
        <v>8944984.0899999999</v>
      </c>
      <c r="I85" s="32">
        <v>8944984.0899999999</v>
      </c>
      <c r="J85" s="65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168">
        <f t="shared" si="4"/>
        <v>6216005.8900000006</v>
      </c>
      <c r="N85" s="187" t="s">
        <v>76</v>
      </c>
      <c r="O85" s="197"/>
      <c r="Q85" s="5"/>
    </row>
    <row r="86" spans="1:17" ht="55.5" customHeight="1" outlineLevel="1" x14ac:dyDescent="0.25">
      <c r="A86" s="532">
        <v>53</v>
      </c>
      <c r="B86" s="534" t="s">
        <v>177</v>
      </c>
      <c r="C86" s="521" t="s">
        <v>173</v>
      </c>
      <c r="D86" s="521" t="s">
        <v>143</v>
      </c>
      <c r="E86" s="521" t="s">
        <v>348</v>
      </c>
      <c r="F86" s="180" t="s">
        <v>178</v>
      </c>
      <c r="G86" s="180" t="s">
        <v>51</v>
      </c>
      <c r="H86" s="64">
        <v>5217725</v>
      </c>
      <c r="I86" s="32">
        <v>5217725</v>
      </c>
      <c r="J86" s="65">
        <v>7.4999999999999997E-3</v>
      </c>
      <c r="K86" s="32">
        <f>782658.5+52177.25+52177.25</f>
        <v>887013</v>
      </c>
      <c r="L86" s="32">
        <f>538816.19+16480.36</f>
        <v>555296.54999999993</v>
      </c>
      <c r="M86" s="168">
        <f t="shared" si="4"/>
        <v>4330712</v>
      </c>
      <c r="N86" s="510" t="s">
        <v>76</v>
      </c>
      <c r="O86" s="197"/>
      <c r="Q86" s="5"/>
    </row>
    <row r="87" spans="1:17" ht="55.5" customHeight="1" outlineLevel="1" x14ac:dyDescent="0.25">
      <c r="A87" s="525"/>
      <c r="B87" s="526"/>
      <c r="C87" s="522"/>
      <c r="D87" s="522"/>
      <c r="E87" s="522"/>
      <c r="F87" s="180" t="s">
        <v>178</v>
      </c>
      <c r="G87" s="180" t="s">
        <v>2</v>
      </c>
      <c r="H87" s="64">
        <v>93025000</v>
      </c>
      <c r="I87" s="32">
        <v>93025000</v>
      </c>
      <c r="J87" s="65">
        <v>7.4999999999999997E-3</v>
      </c>
      <c r="K87" s="32">
        <f>13953750+930250+930250</f>
        <v>15814250</v>
      </c>
      <c r="L87" s="32">
        <f>9237334.28+296030</f>
        <v>9533364.2799999993</v>
      </c>
      <c r="M87" s="168">
        <f t="shared" si="4"/>
        <v>77210750</v>
      </c>
      <c r="N87" s="513"/>
      <c r="O87" s="197"/>
      <c r="Q87" s="5"/>
    </row>
    <row r="88" spans="1:17" ht="94.5" outlineLevel="1" x14ac:dyDescent="0.25">
      <c r="A88" s="156">
        <v>54</v>
      </c>
      <c r="B88" s="171" t="s">
        <v>179</v>
      </c>
      <c r="C88" s="163" t="s">
        <v>173</v>
      </c>
      <c r="D88" s="163" t="s">
        <v>143</v>
      </c>
      <c r="E88" s="180" t="s">
        <v>349</v>
      </c>
      <c r="F88" s="180" t="s">
        <v>180</v>
      </c>
      <c r="G88" s="180" t="s">
        <v>51</v>
      </c>
      <c r="H88" s="64">
        <v>1989000</v>
      </c>
      <c r="I88" s="32">
        <v>1989000</v>
      </c>
      <c r="J88" s="65">
        <v>7.4999999999999997E-3</v>
      </c>
      <c r="K88" s="32">
        <f>337118.7+33711.86+33711.86</f>
        <v>404542.42</v>
      </c>
      <c r="L88" s="32">
        <f>177150.18+6084.76</f>
        <v>183234.94</v>
      </c>
      <c r="M88" s="168">
        <f t="shared" si="4"/>
        <v>1584457.58</v>
      </c>
      <c r="N88" s="187" t="s">
        <v>76</v>
      </c>
      <c r="O88" s="197"/>
      <c r="Q88" s="5"/>
    </row>
    <row r="89" spans="1:17" ht="108" outlineLevel="1" x14ac:dyDescent="0.25">
      <c r="A89" s="156">
        <v>55</v>
      </c>
      <c r="B89" s="171" t="s">
        <v>295</v>
      </c>
      <c r="C89" s="163" t="s">
        <v>296</v>
      </c>
      <c r="D89" s="163" t="s">
        <v>143</v>
      </c>
      <c r="E89" s="163" t="s">
        <v>350</v>
      </c>
      <c r="F89" s="163" t="s">
        <v>297</v>
      </c>
      <c r="G89" s="180" t="s">
        <v>2</v>
      </c>
      <c r="H89" s="64">
        <v>2047212646</v>
      </c>
      <c r="I89" s="184">
        <v>2047212646</v>
      </c>
      <c r="J89" s="65">
        <v>0.02</v>
      </c>
      <c r="K89" s="32">
        <v>0</v>
      </c>
      <c r="L89" s="32">
        <f>88017538.4+20640391+20640391</f>
        <v>129298320.40000001</v>
      </c>
      <c r="M89" s="168">
        <f t="shared" si="4"/>
        <v>2047212646</v>
      </c>
      <c r="N89" s="187" t="s">
        <v>76</v>
      </c>
      <c r="O89" s="197"/>
      <c r="Q89" s="5"/>
    </row>
    <row r="90" spans="1:17" ht="256.5" outlineLevel="1" x14ac:dyDescent="0.25">
      <c r="A90" s="162">
        <v>56</v>
      </c>
      <c r="B90" s="171" t="s">
        <v>181</v>
      </c>
      <c r="C90" s="163" t="s">
        <v>182</v>
      </c>
      <c r="D90" s="163" t="s">
        <v>93</v>
      </c>
      <c r="E90" s="163" t="s">
        <v>351</v>
      </c>
      <c r="F90" s="163" t="s">
        <v>183</v>
      </c>
      <c r="G90" s="180" t="s">
        <v>51</v>
      </c>
      <c r="H90" s="64">
        <v>2217000</v>
      </c>
      <c r="I90" s="64">
        <v>2217000</v>
      </c>
      <c r="J90" s="66">
        <v>0.02</v>
      </c>
      <c r="K90" s="32">
        <f>1656550.78+18166.04+7000680/387.28+18122.86+18122.86+32122.86+28837.1+8000+8000</f>
        <v>1805999.0337740141</v>
      </c>
      <c r="L90" s="32">
        <f>108750.120345235+1633.42+698950/387.28+1809.39+1778.61+1691.44+3308.88+1649.96+1632.88</f>
        <v>124059.4669223885</v>
      </c>
      <c r="M90" s="168">
        <f t="shared" si="4"/>
        <v>411000.9662259859</v>
      </c>
      <c r="N90" s="187" t="s">
        <v>184</v>
      </c>
      <c r="O90" s="202" t="s">
        <v>480</v>
      </c>
      <c r="Q90" s="5"/>
    </row>
    <row r="91" spans="1:17" ht="64.5" customHeight="1" outlineLevel="1" x14ac:dyDescent="0.25">
      <c r="A91" s="156">
        <v>57</v>
      </c>
      <c r="B91" s="179" t="s">
        <v>284</v>
      </c>
      <c r="C91" s="180" t="s">
        <v>285</v>
      </c>
      <c r="D91" s="180" t="s">
        <v>118</v>
      </c>
      <c r="E91" s="180" t="s">
        <v>352</v>
      </c>
      <c r="F91" s="163" t="s">
        <v>287</v>
      </c>
      <c r="G91" s="180" t="s">
        <v>29</v>
      </c>
      <c r="H91" s="64">
        <f>4199559.68+12720691.2+1113060.48+1966688.64</f>
        <v>20000000</v>
      </c>
      <c r="I91" s="64">
        <f>H91</f>
        <v>20000000</v>
      </c>
      <c r="J91" s="66" t="s">
        <v>288</v>
      </c>
      <c r="K91" s="32"/>
      <c r="L91" s="67">
        <f>77849.88+103888.1+413918.01</f>
        <v>595655.99</v>
      </c>
      <c r="M91" s="168">
        <f t="shared" si="4"/>
        <v>20000000</v>
      </c>
      <c r="N91" s="187" t="s">
        <v>289</v>
      </c>
      <c r="O91" s="202"/>
      <c r="Q91" s="5"/>
    </row>
    <row r="92" spans="1:17" s="4" customFormat="1" ht="38.25" customHeight="1" outlineLevel="1" x14ac:dyDescent="0.25">
      <c r="A92" s="525">
        <v>58</v>
      </c>
      <c r="B92" s="526" t="s">
        <v>185</v>
      </c>
      <c r="C92" s="522" t="s">
        <v>186</v>
      </c>
      <c r="D92" s="522"/>
      <c r="E92" s="529" t="s">
        <v>353</v>
      </c>
      <c r="F92" s="531" t="s">
        <v>187</v>
      </c>
      <c r="G92" s="183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510" t="s">
        <v>76</v>
      </c>
      <c r="O92" s="197"/>
      <c r="P92" s="3"/>
      <c r="Q92" s="5"/>
    </row>
    <row r="93" spans="1:17" s="4" customFormat="1" ht="45" customHeight="1" outlineLevel="1" x14ac:dyDescent="0.25">
      <c r="A93" s="525"/>
      <c r="B93" s="527"/>
      <c r="C93" s="528"/>
      <c r="D93" s="528"/>
      <c r="E93" s="530"/>
      <c r="F93" s="530"/>
      <c r="G93" s="47" t="s">
        <v>2</v>
      </c>
      <c r="H93" s="68">
        <v>28883700</v>
      </c>
      <c r="I93" s="32">
        <v>28883700</v>
      </c>
      <c r="J93" s="186"/>
      <c r="K93" s="32"/>
      <c r="L93" s="32"/>
      <c r="M93" s="60">
        <f t="shared" si="4"/>
        <v>28883700</v>
      </c>
      <c r="N93" s="524"/>
      <c r="O93" s="197"/>
      <c r="P93" s="3"/>
      <c r="Q93" s="5"/>
    </row>
    <row r="94" spans="1:17" s="2" customFormat="1" ht="40.5" customHeight="1" outlineLevel="1" x14ac:dyDescent="0.25">
      <c r="A94" s="162">
        <v>59</v>
      </c>
      <c r="B94" s="171" t="s">
        <v>111</v>
      </c>
      <c r="C94" s="163" t="s">
        <v>112</v>
      </c>
      <c r="D94" s="163" t="s">
        <v>463</v>
      </c>
      <c r="E94" s="163" t="s">
        <v>354</v>
      </c>
      <c r="F94" s="163" t="s">
        <v>114</v>
      </c>
      <c r="G94" s="163" t="s">
        <v>2</v>
      </c>
      <c r="H94" s="184">
        <v>303444194</v>
      </c>
      <c r="I94" s="184">
        <v>303444194</v>
      </c>
      <c r="J94" s="186">
        <v>0</v>
      </c>
      <c r="K94" s="184"/>
      <c r="L94" s="184"/>
      <c r="M94" s="176">
        <f t="shared" si="4"/>
        <v>303444194</v>
      </c>
      <c r="N94" s="187" t="s">
        <v>76</v>
      </c>
      <c r="O94" s="199"/>
      <c r="P94" s="1"/>
      <c r="Q94" s="5"/>
    </row>
    <row r="95" spans="1:17" ht="51" customHeight="1" x14ac:dyDescent="0.25">
      <c r="A95" s="156">
        <v>60</v>
      </c>
      <c r="B95" s="179" t="s">
        <v>440</v>
      </c>
      <c r="C95" s="180" t="s">
        <v>441</v>
      </c>
      <c r="D95" s="180" t="s">
        <v>463</v>
      </c>
      <c r="E95" s="180" t="s">
        <v>442</v>
      </c>
      <c r="F95" s="180" t="s">
        <v>443</v>
      </c>
      <c r="G95" s="180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180" t="s">
        <v>444</v>
      </c>
      <c r="O95" s="197"/>
      <c r="Q95" s="5"/>
    </row>
    <row r="96" spans="1:17" ht="155.25" customHeight="1" x14ac:dyDescent="0.25">
      <c r="A96" s="155">
        <v>61</v>
      </c>
      <c r="B96" s="172" t="s">
        <v>481</v>
      </c>
      <c r="C96" s="180" t="s">
        <v>441</v>
      </c>
      <c r="D96" s="180" t="s">
        <v>463</v>
      </c>
      <c r="E96" s="157"/>
      <c r="F96" s="180" t="s">
        <v>482</v>
      </c>
      <c r="G96" s="180" t="s">
        <v>2</v>
      </c>
      <c r="H96" s="185">
        <v>3500000000</v>
      </c>
      <c r="I96" s="185">
        <v>3500000000</v>
      </c>
      <c r="J96" s="62">
        <v>0.08</v>
      </c>
      <c r="K96" s="192"/>
      <c r="L96" s="192"/>
      <c r="M96" s="60">
        <f t="shared" si="4"/>
        <v>3500000000</v>
      </c>
      <c r="N96" s="189" t="s">
        <v>483</v>
      </c>
      <c r="O96" s="193"/>
      <c r="Q96" s="5"/>
    </row>
    <row r="97" spans="1:17" s="2" customFormat="1" ht="47.25" customHeight="1" outlineLevel="1" x14ac:dyDescent="0.25">
      <c r="A97" s="155">
        <v>62</v>
      </c>
      <c r="B97" s="157" t="s">
        <v>484</v>
      </c>
      <c r="C97" s="157" t="s">
        <v>441</v>
      </c>
      <c r="D97" s="157" t="s">
        <v>463</v>
      </c>
      <c r="E97" s="99" t="s">
        <v>447</v>
      </c>
      <c r="F97" s="157" t="s">
        <v>263</v>
      </c>
      <c r="G97" s="157" t="s">
        <v>2</v>
      </c>
      <c r="H97" s="185">
        <v>2000000000</v>
      </c>
      <c r="I97" s="185">
        <v>2000000000</v>
      </c>
      <c r="J97" s="167">
        <v>1E-4</v>
      </c>
      <c r="K97" s="185"/>
      <c r="L97" s="185"/>
      <c r="M97" s="178">
        <f t="shared" si="4"/>
        <v>2000000000</v>
      </c>
      <c r="N97" s="189" t="s">
        <v>448</v>
      </c>
      <c r="O97" s="205"/>
      <c r="P97" s="1"/>
      <c r="Q97" s="5"/>
    </row>
    <row r="98" spans="1:17" s="2" customFormat="1" ht="47.25" customHeight="1" outlineLevel="1" x14ac:dyDescent="0.25">
      <c r="A98" s="155">
        <v>63</v>
      </c>
      <c r="B98" s="157" t="s">
        <v>188</v>
      </c>
      <c r="C98" s="157" t="s">
        <v>189</v>
      </c>
      <c r="D98" s="157" t="s">
        <v>485</v>
      </c>
      <c r="E98" s="99" t="s">
        <v>355</v>
      </c>
      <c r="F98" s="157" t="s">
        <v>191</v>
      </c>
      <c r="G98" s="157" t="s">
        <v>51</v>
      </c>
      <c r="H98" s="185">
        <v>10000000</v>
      </c>
      <c r="I98" s="185">
        <v>10000000</v>
      </c>
      <c r="J98" s="167" t="s">
        <v>192</v>
      </c>
      <c r="K98" s="185">
        <v>2553676.86</v>
      </c>
      <c r="L98" s="185">
        <f>3533579.15874841+18816925/512.41+16022937.4/426.85+37537.63+37130+36723+37538+'[2]15,08,20 գործող'!$I$55+'[2]15,08,20 գործող'!$I$56</f>
        <v>3831843.4704706864</v>
      </c>
      <c r="M98" s="178">
        <f>I98-K98</f>
        <v>7446323.1400000006</v>
      </c>
      <c r="N98" s="189" t="s">
        <v>193</v>
      </c>
      <c r="O98" s="205" t="s">
        <v>486</v>
      </c>
      <c r="P98" s="1"/>
      <c r="Q98" s="5"/>
    </row>
    <row r="99" spans="1:17" s="2" customFormat="1" ht="51" customHeight="1" outlineLevel="1" thickBot="1" x14ac:dyDescent="0.3">
      <c r="A99" s="156">
        <v>64</v>
      </c>
      <c r="B99" s="180" t="s">
        <v>188</v>
      </c>
      <c r="C99" s="180" t="s">
        <v>133</v>
      </c>
      <c r="D99" s="180" t="s">
        <v>485</v>
      </c>
      <c r="E99" s="58" t="s">
        <v>356</v>
      </c>
      <c r="F99" s="180" t="s">
        <v>194</v>
      </c>
      <c r="G99" s="180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</f>
        <v>3816438358</v>
      </c>
      <c r="M99" s="168">
        <f>I99-K99</f>
        <v>8000000000</v>
      </c>
      <c r="N99" s="140" t="s">
        <v>196</v>
      </c>
      <c r="O99" s="200" t="s">
        <v>487</v>
      </c>
      <c r="P99" s="1"/>
      <c r="Q99" s="5"/>
    </row>
    <row r="100" spans="1:17" s="9" customFormat="1" ht="24.75" customHeight="1" x14ac:dyDescent="0.25">
      <c r="A100" s="496" t="s">
        <v>197</v>
      </c>
      <c r="B100" s="497"/>
      <c r="C100" s="497"/>
      <c r="D100" s="519" t="s">
        <v>29</v>
      </c>
      <c r="E100" s="519"/>
      <c r="F100" s="519"/>
      <c r="G100" s="69"/>
      <c r="H100" s="13">
        <f>SUMIF($G$72:$G$99,D100,$H$72:$H$99)</f>
        <v>41500000</v>
      </c>
      <c r="I100" s="13">
        <f>SUMIF($G$72:$G$99,D100,$I$72:$I$99)</f>
        <v>22503571.57</v>
      </c>
      <c r="J100" s="13"/>
      <c r="K100" s="13">
        <f>SUMIF($G$72:$G$99,D100,$K$72:$K$99)</f>
        <v>29090.971703756208</v>
      </c>
      <c r="L100" s="13">
        <f>SUMIF($G$72:$G$99,D100,$L$72:$L$99)</f>
        <v>779879.60988818214</v>
      </c>
      <c r="M100" s="13">
        <f>SUMIF($G$72:$G$99,D100,$M$72:$M$99)</f>
        <v>22474480.598296244</v>
      </c>
      <c r="N100" s="147"/>
      <c r="O100" s="193"/>
      <c r="P100" s="8"/>
      <c r="Q100" s="5"/>
    </row>
    <row r="101" spans="1:17" s="9" customFormat="1" ht="39" customHeight="1" x14ac:dyDescent="0.25">
      <c r="A101" s="485"/>
      <c r="B101" s="486"/>
      <c r="C101" s="486"/>
      <c r="D101" s="503" t="s">
        <v>2</v>
      </c>
      <c r="E101" s="503"/>
      <c r="F101" s="503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3979982610.1799998</v>
      </c>
      <c r="M101" s="11">
        <f>SUMIF($G$72:$G$99,D101,$M$72:$M$99)</f>
        <v>20591275479.099998</v>
      </c>
      <c r="N101" s="148"/>
      <c r="O101" s="197"/>
      <c r="P101" s="8"/>
      <c r="Q101" s="5"/>
    </row>
    <row r="102" spans="1:17" s="9" customFormat="1" ht="39" customHeight="1" x14ac:dyDescent="0.25">
      <c r="A102" s="485"/>
      <c r="B102" s="486"/>
      <c r="C102" s="486"/>
      <c r="D102" s="503" t="s">
        <v>51</v>
      </c>
      <c r="E102" s="503"/>
      <c r="F102" s="503"/>
      <c r="G102" s="54"/>
      <c r="H102" s="11">
        <f>SUMIF($G$72:$G$99,D102,$H$72:$H$99)</f>
        <v>32967799.48</v>
      </c>
      <c r="I102" s="11">
        <f>SUMIF($G$72:$G$99,D102,$I$72:$I$99)</f>
        <v>29785034.550000001</v>
      </c>
      <c r="J102" s="11"/>
      <c r="K102" s="11">
        <f>SUMIF($G$72:$G$99,D102,$K$72:$K$99)</f>
        <v>9152564.7137413267</v>
      </c>
      <c r="L102" s="11">
        <f>SUMIF($G$72:$G$99,D102,$L$72:$L$99)</f>
        <v>6043563.7074282765</v>
      </c>
      <c r="M102" s="11">
        <f>SUMIF($G$72:$G$99,D102,$M$72:$M$99)</f>
        <v>20632469.836258672</v>
      </c>
      <c r="N102" s="148"/>
      <c r="O102" s="197"/>
      <c r="P102" s="8"/>
      <c r="Q102" s="5"/>
    </row>
    <row r="103" spans="1:17" s="9" customFormat="1" ht="39" customHeight="1" thickBot="1" x14ac:dyDescent="0.3">
      <c r="A103" s="506"/>
      <c r="B103" s="507"/>
      <c r="C103" s="507"/>
      <c r="D103" s="520" t="s">
        <v>71</v>
      </c>
      <c r="E103" s="520"/>
      <c r="F103" s="520"/>
      <c r="G103" s="57"/>
      <c r="H103" s="12">
        <f>SUMIF($G$72:$G$99,D103,$H$72:$H$99)</f>
        <v>0</v>
      </c>
      <c r="I103" s="12">
        <f>SUMIF($G$72:$G$99,D103,$I$72:$I$99)</f>
        <v>0</v>
      </c>
      <c r="J103" s="12"/>
      <c r="K103" s="12">
        <f>SUMIF($G$72:$G$99,D103,$K$72:$K$99)</f>
        <v>0</v>
      </c>
      <c r="L103" s="12">
        <f>SUMIF($G$72:$G$99,D103,$L$72:$L$99)</f>
        <v>0</v>
      </c>
      <c r="M103" s="12">
        <f>SUMIF($G$72:$G$99,D103,$M$72:$M$99)</f>
        <v>0</v>
      </c>
      <c r="N103" s="150"/>
      <c r="O103" s="196"/>
      <c r="P103" s="8"/>
      <c r="Q103" s="5"/>
    </row>
    <row r="104" spans="1:17" s="4" customFormat="1" ht="156.75" customHeight="1" outlineLevel="1" x14ac:dyDescent="0.25">
      <c r="A104" s="156">
        <v>65</v>
      </c>
      <c r="B104" s="163" t="s">
        <v>0</v>
      </c>
      <c r="C104" s="163" t="s">
        <v>1</v>
      </c>
      <c r="D104" s="163" t="s">
        <v>463</v>
      </c>
      <c r="E104" s="165" t="s">
        <v>357</v>
      </c>
      <c r="F104" s="165" t="s">
        <v>198</v>
      </c>
      <c r="G104" s="180" t="s">
        <v>2</v>
      </c>
      <c r="H104" s="68">
        <f>3047000000+3000000000</f>
        <v>6047000000</v>
      </c>
      <c r="I104" s="40">
        <v>6000000000</v>
      </c>
      <c r="J104" s="186"/>
      <c r="K104" s="40">
        <f>4439902959+260956717.5+995441267.7+73262192.2+103703140+88648827.6+23704487.9+9999937.1</f>
        <v>5995619529</v>
      </c>
      <c r="L104" s="40"/>
      <c r="M104" s="184">
        <f t="shared" ref="M104:M109" si="5">I104-K104</f>
        <v>4380471</v>
      </c>
      <c r="N104" s="146" t="s">
        <v>76</v>
      </c>
      <c r="O104" s="193"/>
      <c r="P104" s="3"/>
      <c r="Q104" s="5"/>
    </row>
    <row r="105" spans="1:17" s="4" customFormat="1" ht="147" customHeight="1" outlineLevel="1" x14ac:dyDescent="0.25">
      <c r="A105" s="156">
        <v>66</v>
      </c>
      <c r="B105" s="521" t="s">
        <v>0</v>
      </c>
      <c r="C105" s="521" t="s">
        <v>7</v>
      </c>
      <c r="D105" s="163" t="s">
        <v>463</v>
      </c>
      <c r="E105" s="165" t="s">
        <v>488</v>
      </c>
      <c r="F105" s="165" t="s">
        <v>9</v>
      </c>
      <c r="G105" s="180" t="s">
        <v>2</v>
      </c>
      <c r="H105" s="32">
        <v>2000000000</v>
      </c>
      <c r="I105" s="40">
        <v>2000000000</v>
      </c>
      <c r="J105" s="38">
        <v>2.7E-2</v>
      </c>
      <c r="K105" s="40"/>
      <c r="L105" s="168">
        <f>68417269.8+13462993.2+49643.9+1421840.5+38566246.5+491534.9+1119195.4+178355+29883.2+10588.6+3022.3</f>
        <v>123750573.30000001</v>
      </c>
      <c r="M105" s="168">
        <f t="shared" si="5"/>
        <v>2000000000</v>
      </c>
      <c r="N105" s="146" t="s">
        <v>76</v>
      </c>
      <c r="O105" s="197"/>
      <c r="P105" s="3"/>
      <c r="Q105" s="5"/>
    </row>
    <row r="106" spans="1:17" s="4" customFormat="1" ht="144.75" customHeight="1" outlineLevel="1" x14ac:dyDescent="0.25">
      <c r="A106" s="156">
        <v>67</v>
      </c>
      <c r="B106" s="522"/>
      <c r="C106" s="522"/>
      <c r="D106" s="169" t="s">
        <v>463</v>
      </c>
      <c r="E106" s="165" t="s">
        <v>489</v>
      </c>
      <c r="F106" s="165" t="s">
        <v>11</v>
      </c>
      <c r="G106" s="157" t="s">
        <v>2</v>
      </c>
      <c r="H106" s="32">
        <v>2000000000</v>
      </c>
      <c r="I106" s="40">
        <v>2000000000</v>
      </c>
      <c r="J106" s="70">
        <v>5.7000000000000002E-2</v>
      </c>
      <c r="K106" s="40"/>
      <c r="L106" s="40">
        <f>153819379.6+28421448.8+780809.1+528470.5+2614769.3+283790.1+5159868.8+1406739.9</f>
        <v>193015276.10000002</v>
      </c>
      <c r="M106" s="168">
        <f t="shared" si="5"/>
        <v>2000000000</v>
      </c>
      <c r="N106" s="146" t="s">
        <v>76</v>
      </c>
      <c r="O106" s="197"/>
      <c r="P106" s="3"/>
      <c r="Q106" s="5"/>
    </row>
    <row r="107" spans="1:17" s="4" customFormat="1" ht="168" customHeight="1" outlineLevel="1" x14ac:dyDescent="0.25">
      <c r="A107" s="156">
        <v>68</v>
      </c>
      <c r="B107" s="572"/>
      <c r="C107" s="572"/>
      <c r="D107" s="189"/>
      <c r="E107" s="159" t="s">
        <v>490</v>
      </c>
      <c r="F107" s="159" t="s">
        <v>199</v>
      </c>
      <c r="G107" s="157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168">
        <f t="shared" si="5"/>
        <v>5000000000</v>
      </c>
      <c r="N107" s="142" t="s">
        <v>76</v>
      </c>
      <c r="O107" s="197"/>
      <c r="P107" s="3"/>
      <c r="Q107" s="5"/>
    </row>
    <row r="108" spans="1:17" s="4" customFormat="1" ht="175.5" outlineLevel="1" x14ac:dyDescent="0.25">
      <c r="A108" s="155">
        <v>69</v>
      </c>
      <c r="B108" s="173" t="s">
        <v>3</v>
      </c>
      <c r="C108" s="173" t="s">
        <v>5</v>
      </c>
      <c r="D108" s="173" t="s">
        <v>463</v>
      </c>
      <c r="E108" s="174" t="s">
        <v>358</v>
      </c>
      <c r="F108" s="174" t="s">
        <v>6</v>
      </c>
      <c r="G108" s="157" t="s">
        <v>2</v>
      </c>
      <c r="H108" s="185">
        <v>562500000</v>
      </c>
      <c r="I108" s="192">
        <v>562500000</v>
      </c>
      <c r="J108" s="70"/>
      <c r="K108" s="192"/>
      <c r="L108" s="192"/>
      <c r="M108" s="177">
        <f t="shared" si="5"/>
        <v>562500000</v>
      </c>
      <c r="N108" s="151" t="s">
        <v>76</v>
      </c>
      <c r="O108" s="193"/>
      <c r="P108" s="3"/>
      <c r="Q108" s="5"/>
    </row>
    <row r="109" spans="1:17" s="4" customFormat="1" ht="135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74"/>
      <c r="F109" s="74" t="s">
        <v>369</v>
      </c>
      <c r="G109" s="194" t="s">
        <v>2</v>
      </c>
      <c r="H109" s="75">
        <f>2000000000+7300000000</f>
        <v>9300000000</v>
      </c>
      <c r="I109" s="76">
        <f>9024295000</f>
        <v>9024295000</v>
      </c>
      <c r="J109" s="77"/>
      <c r="K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L109" s="76">
        <f>34040214.6+16030636.8+1797857.1+7375602.5+3983531.1+11814600.3+22459610.6+9668538.8+11671711.4+6908264.6+1329981.6</f>
        <v>127080549.39999999</v>
      </c>
      <c r="M109" s="78">
        <f t="shared" si="5"/>
        <v>215230410.79999352</v>
      </c>
      <c r="N109" s="195" t="s">
        <v>76</v>
      </c>
      <c r="O109" s="196"/>
      <c r="P109" s="3"/>
      <c r="Q109" s="5"/>
    </row>
    <row r="110" spans="1:17" s="9" customFormat="1" ht="30" customHeight="1" x14ac:dyDescent="0.25">
      <c r="A110" s="483" t="s">
        <v>200</v>
      </c>
      <c r="B110" s="484"/>
      <c r="C110" s="484"/>
      <c r="D110" s="508" t="s">
        <v>29</v>
      </c>
      <c r="E110" s="509"/>
      <c r="F110" s="501"/>
      <c r="G110" s="49"/>
      <c r="H110" s="14">
        <f>SUMIF($G$104:$G$109,D110,$H$104:$H$109)</f>
        <v>0</v>
      </c>
      <c r="I110" s="14">
        <f>SUMIF($G$104:$G$109,D110,$I$104:$I$109)</f>
        <v>0</v>
      </c>
      <c r="J110" s="14"/>
      <c r="K110" s="14">
        <f>SUMIF($G$104:$G$109,D110,$K$104:$K$109)</f>
        <v>0</v>
      </c>
      <c r="L110" s="14">
        <f>SUMIF($G$104:$G$109,D110,$L$104:$L$109)</f>
        <v>0</v>
      </c>
      <c r="M110" s="14">
        <f>SUMIF($G$104:$G$109,D110,$M$104:$M$109)</f>
        <v>0</v>
      </c>
      <c r="N110" s="152"/>
      <c r="O110" s="193"/>
      <c r="P110" s="3"/>
      <c r="Q110" s="5"/>
    </row>
    <row r="111" spans="1:17" s="9" customFormat="1" ht="27" customHeight="1" x14ac:dyDescent="0.25">
      <c r="A111" s="485"/>
      <c r="B111" s="486"/>
      <c r="C111" s="486"/>
      <c r="D111" s="492" t="s">
        <v>2</v>
      </c>
      <c r="E111" s="481"/>
      <c r="F111" s="482"/>
      <c r="G111" s="54"/>
      <c r="H111" s="14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14804684118.200006</v>
      </c>
      <c r="L111" s="11">
        <f>SUMIF($G$104:$G$109,D111,$L$104:$L$109)</f>
        <v>639983383.70000005</v>
      </c>
      <c r="M111" s="11">
        <f>SUMIF($G$104:$G$109,D111,$M$104:$M$109)</f>
        <v>9782110881.7999935</v>
      </c>
      <c r="N111" s="148"/>
      <c r="O111" s="197"/>
      <c r="P111" s="3"/>
      <c r="Q111" s="5"/>
    </row>
    <row r="112" spans="1:17" s="9" customFormat="1" ht="28.5" customHeight="1" x14ac:dyDescent="0.25">
      <c r="A112" s="485"/>
      <c r="B112" s="486"/>
      <c r="C112" s="486"/>
      <c r="D112" s="492" t="s">
        <v>51</v>
      </c>
      <c r="E112" s="481"/>
      <c r="F112" s="482"/>
      <c r="G112" s="54"/>
      <c r="H112" s="14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48"/>
      <c r="O112" s="197"/>
      <c r="P112" s="8"/>
      <c r="Q112" s="5"/>
    </row>
    <row r="113" spans="1:17" s="9" customFormat="1" ht="30" customHeight="1" thickBot="1" x14ac:dyDescent="0.3">
      <c r="A113" s="506"/>
      <c r="B113" s="507"/>
      <c r="C113" s="507"/>
      <c r="D113" s="493" t="s">
        <v>71</v>
      </c>
      <c r="E113" s="494"/>
      <c r="F113" s="495"/>
      <c r="G113" s="57"/>
      <c r="H113" s="12">
        <f>SUMIF($G$104:$G$109,D113,$H$104:$H$109)</f>
        <v>0</v>
      </c>
      <c r="I113" s="12">
        <f>SUMIF($G$104:$G$109,D113,$I$104:$I$109)</f>
        <v>0</v>
      </c>
      <c r="J113" s="12"/>
      <c r="K113" s="12">
        <f>SUMIF($G$104:$G$109,D113,$K$104:$K$109)</f>
        <v>0</v>
      </c>
      <c r="L113" s="12">
        <f>SUMIF($G$104:$G$109,D113,$L$104:$L$109)</f>
        <v>0</v>
      </c>
      <c r="M113" s="12">
        <f>SUMIF($G$104:$G$109,D113,$M$104:$M$109)</f>
        <v>0</v>
      </c>
      <c r="N113" s="150"/>
      <c r="O113" s="196"/>
      <c r="P113" s="8"/>
      <c r="Q113" s="5"/>
    </row>
    <row r="114" spans="1:17" s="4" customFormat="1" ht="121.5" outlineLevel="1" x14ac:dyDescent="0.25">
      <c r="A114" s="155">
        <v>71</v>
      </c>
      <c r="B114" s="182" t="s">
        <v>201</v>
      </c>
      <c r="C114" s="182" t="s">
        <v>202</v>
      </c>
      <c r="D114" s="163" t="s">
        <v>463</v>
      </c>
      <c r="E114" s="165" t="s">
        <v>359</v>
      </c>
      <c r="F114" s="165" t="s">
        <v>203</v>
      </c>
      <c r="G114" s="180" t="s">
        <v>2</v>
      </c>
      <c r="H114" s="79">
        <v>574491741</v>
      </c>
      <c r="I114" s="79">
        <v>574491741</v>
      </c>
      <c r="J114" s="175">
        <v>1E-4</v>
      </c>
      <c r="K114" s="79">
        <f>132575017.2</f>
        <v>132575017.2</v>
      </c>
      <c r="L114" s="79">
        <f>85623+14165+39966.7</f>
        <v>139754.70000000001</v>
      </c>
      <c r="M114" s="177">
        <f t="shared" ref="M114:M126" si="6">I114-K114</f>
        <v>441916723.80000001</v>
      </c>
      <c r="N114" s="151" t="s">
        <v>204</v>
      </c>
      <c r="O114" s="193"/>
      <c r="P114" s="3"/>
      <c r="Q114" s="5"/>
    </row>
    <row r="115" spans="1:17" s="4" customFormat="1" ht="121.5" outlineLevel="1" x14ac:dyDescent="0.25">
      <c r="A115" s="156">
        <v>72</v>
      </c>
      <c r="B115" s="171" t="s">
        <v>205</v>
      </c>
      <c r="C115" s="171" t="s">
        <v>202</v>
      </c>
      <c r="D115" s="163" t="s">
        <v>463</v>
      </c>
      <c r="E115" s="165" t="s">
        <v>360</v>
      </c>
      <c r="F115" s="165" t="s">
        <v>206</v>
      </c>
      <c r="G115" s="180" t="s">
        <v>2</v>
      </c>
      <c r="H115" s="68">
        <v>98612371</v>
      </c>
      <c r="I115" s="60">
        <v>98612371</v>
      </c>
      <c r="J115" s="166">
        <v>1E-4</v>
      </c>
      <c r="K115" s="60"/>
      <c r="L115" s="60">
        <v>17060</v>
      </c>
      <c r="M115" s="176">
        <f t="shared" si="6"/>
        <v>98612371</v>
      </c>
      <c r="N115" s="146" t="s">
        <v>207</v>
      </c>
      <c r="O115" s="197"/>
      <c r="P115" s="3"/>
      <c r="Q115" s="5"/>
    </row>
    <row r="116" spans="1:17" s="4" customFormat="1" ht="121.5" outlineLevel="1" x14ac:dyDescent="0.25">
      <c r="A116" s="156">
        <v>73</v>
      </c>
      <c r="B116" s="171" t="s">
        <v>208</v>
      </c>
      <c r="C116" s="171" t="s">
        <v>202</v>
      </c>
      <c r="D116" s="163" t="s">
        <v>463</v>
      </c>
      <c r="E116" s="165" t="s">
        <v>361</v>
      </c>
      <c r="F116" s="165" t="s">
        <v>209</v>
      </c>
      <c r="G116" s="180" t="s">
        <v>2</v>
      </c>
      <c r="H116" s="68">
        <v>60132468</v>
      </c>
      <c r="I116" s="60">
        <v>60132468</v>
      </c>
      <c r="J116" s="166">
        <v>1E-4</v>
      </c>
      <c r="K116" s="60">
        <f>4625574.5+4625574.5+4625574.5+4625574.5+4625575+4625575+4625575</f>
        <v>32379023</v>
      </c>
      <c r="L116" s="60">
        <f>10367+1511.2+1400+1500+1500+1000+20000+1000</f>
        <v>38278.199999999997</v>
      </c>
      <c r="M116" s="176">
        <f t="shared" si="6"/>
        <v>27753445</v>
      </c>
      <c r="N116" s="146" t="s">
        <v>210</v>
      </c>
      <c r="O116" s="206"/>
      <c r="P116" s="15"/>
      <c r="Q116" s="5"/>
    </row>
    <row r="117" spans="1:17" s="4" customFormat="1" ht="121.5" outlineLevel="1" x14ac:dyDescent="0.25">
      <c r="A117" s="156">
        <v>74</v>
      </c>
      <c r="B117" s="171" t="s">
        <v>211</v>
      </c>
      <c r="C117" s="171" t="s">
        <v>202</v>
      </c>
      <c r="D117" s="163" t="s">
        <v>463</v>
      </c>
      <c r="E117" s="165" t="s">
        <v>362</v>
      </c>
      <c r="F117" s="165" t="s">
        <v>212</v>
      </c>
      <c r="G117" s="180" t="s">
        <v>2</v>
      </c>
      <c r="H117" s="32">
        <f>9500000+12453199</f>
        <v>21953199</v>
      </c>
      <c r="I117" s="60">
        <f>9500000+12453199</f>
        <v>21953199</v>
      </c>
      <c r="J117" s="166">
        <v>1E-4</v>
      </c>
      <c r="K117" s="60"/>
      <c r="L117" s="60">
        <v>3720</v>
      </c>
      <c r="M117" s="176">
        <f t="shared" si="6"/>
        <v>21953199</v>
      </c>
      <c r="N117" s="146" t="s">
        <v>213</v>
      </c>
      <c r="O117" s="206"/>
      <c r="P117" s="15"/>
      <c r="Q117" s="5"/>
    </row>
    <row r="118" spans="1:17" s="4" customFormat="1" ht="129.75" customHeight="1" outlineLevel="1" x14ac:dyDescent="0.25">
      <c r="A118" s="156">
        <v>75</v>
      </c>
      <c r="B118" s="171" t="s">
        <v>214</v>
      </c>
      <c r="C118" s="171" t="s">
        <v>202</v>
      </c>
      <c r="D118" s="163" t="s">
        <v>463</v>
      </c>
      <c r="E118" s="165" t="s">
        <v>362</v>
      </c>
      <c r="F118" s="165" t="s">
        <v>215</v>
      </c>
      <c r="G118" s="180" t="s">
        <v>2</v>
      </c>
      <c r="H118" s="68">
        <v>15801400</v>
      </c>
      <c r="I118" s="60">
        <v>15801400</v>
      </c>
      <c r="J118" s="166">
        <v>1E-4</v>
      </c>
      <c r="K118" s="60"/>
      <c r="L118" s="60">
        <v>3500</v>
      </c>
      <c r="M118" s="176">
        <f t="shared" si="6"/>
        <v>15801400</v>
      </c>
      <c r="N118" s="146" t="s">
        <v>216</v>
      </c>
      <c r="O118" s="206"/>
      <c r="P118" s="15"/>
      <c r="Q118" s="5"/>
    </row>
    <row r="119" spans="1:17" s="4" customFormat="1" ht="129.75" customHeight="1" outlineLevel="1" x14ac:dyDescent="0.25">
      <c r="A119" s="156">
        <v>76</v>
      </c>
      <c r="B119" s="171" t="s">
        <v>217</v>
      </c>
      <c r="C119" s="171" t="s">
        <v>202</v>
      </c>
      <c r="D119" s="163" t="s">
        <v>463</v>
      </c>
      <c r="E119" s="165" t="s">
        <v>362</v>
      </c>
      <c r="F119" s="165" t="s">
        <v>215</v>
      </c>
      <c r="G119" s="180" t="s">
        <v>2</v>
      </c>
      <c r="H119" s="68">
        <v>2554000</v>
      </c>
      <c r="I119" s="60">
        <v>2554000</v>
      </c>
      <c r="J119" s="166">
        <v>1E-4</v>
      </c>
      <c r="K119" s="60"/>
      <c r="L119" s="60">
        <f>500</f>
        <v>500</v>
      </c>
      <c r="M119" s="176">
        <f t="shared" si="6"/>
        <v>2554000</v>
      </c>
      <c r="N119" s="146" t="s">
        <v>218</v>
      </c>
      <c r="O119" s="206"/>
      <c r="P119" s="15"/>
      <c r="Q119" s="5"/>
    </row>
    <row r="120" spans="1:17" s="4" customFormat="1" ht="129.75" customHeight="1" outlineLevel="1" x14ac:dyDescent="0.25">
      <c r="A120" s="156">
        <v>77</v>
      </c>
      <c r="B120" s="171" t="s">
        <v>219</v>
      </c>
      <c r="C120" s="171" t="s">
        <v>202</v>
      </c>
      <c r="D120" s="163" t="s">
        <v>463</v>
      </c>
      <c r="E120" s="165" t="s">
        <v>362</v>
      </c>
      <c r="F120" s="165" t="s">
        <v>220</v>
      </c>
      <c r="G120" s="180" t="s">
        <v>2</v>
      </c>
      <c r="H120" s="68">
        <v>29053320</v>
      </c>
      <c r="I120" s="60">
        <v>29053320</v>
      </c>
      <c r="J120" s="166">
        <v>1E-4</v>
      </c>
      <c r="K120" s="60"/>
      <c r="L120" s="60">
        <f>2000+3000</f>
        <v>5000</v>
      </c>
      <c r="M120" s="176">
        <f t="shared" si="6"/>
        <v>29053320</v>
      </c>
      <c r="N120" s="146" t="s">
        <v>221</v>
      </c>
      <c r="O120" s="206"/>
      <c r="P120" s="15"/>
      <c r="Q120" s="5"/>
    </row>
    <row r="121" spans="1:17" s="4" customFormat="1" ht="129.75" customHeight="1" outlineLevel="1" x14ac:dyDescent="0.25">
      <c r="A121" s="156">
        <v>78</v>
      </c>
      <c r="B121" s="171" t="s">
        <v>222</v>
      </c>
      <c r="C121" s="171" t="s">
        <v>202</v>
      </c>
      <c r="D121" s="163" t="s">
        <v>463</v>
      </c>
      <c r="E121" s="165" t="s">
        <v>362</v>
      </c>
      <c r="F121" s="165" t="s">
        <v>223</v>
      </c>
      <c r="G121" s="180" t="s">
        <v>2</v>
      </c>
      <c r="H121" s="68">
        <v>192064443</v>
      </c>
      <c r="I121" s="60">
        <f>95000000+97064443</f>
        <v>192064443</v>
      </c>
      <c r="J121" s="166">
        <v>1E-4</v>
      </c>
      <c r="K121" s="60">
        <f>65000000+20000000</f>
        <v>85000000</v>
      </c>
      <c r="L121" s="60">
        <f>16100+12200+23933</f>
        <v>52233</v>
      </c>
      <c r="M121" s="176">
        <f t="shared" si="6"/>
        <v>107064443</v>
      </c>
      <c r="N121" s="146" t="s">
        <v>224</v>
      </c>
      <c r="O121" s="206"/>
      <c r="P121" s="15"/>
      <c r="Q121" s="5"/>
    </row>
    <row r="122" spans="1:17" s="4" customFormat="1" ht="129.75" customHeight="1" outlineLevel="1" x14ac:dyDescent="0.25">
      <c r="A122" s="156">
        <v>79</v>
      </c>
      <c r="B122" s="171" t="s">
        <v>226</v>
      </c>
      <c r="C122" s="171" t="s">
        <v>202</v>
      </c>
      <c r="D122" s="163" t="s">
        <v>463</v>
      </c>
      <c r="E122" s="165" t="s">
        <v>362</v>
      </c>
      <c r="F122" s="165" t="s">
        <v>225</v>
      </c>
      <c r="G122" s="180" t="s">
        <v>2</v>
      </c>
      <c r="H122" s="68">
        <v>3469534</v>
      </c>
      <c r="I122" s="60">
        <v>3469534</v>
      </c>
      <c r="J122" s="166">
        <v>1E-4</v>
      </c>
      <c r="K122" s="60">
        <v>266887</v>
      </c>
      <c r="L122" s="60">
        <f>600+86</f>
        <v>686</v>
      </c>
      <c r="M122" s="176">
        <f t="shared" si="6"/>
        <v>3202647</v>
      </c>
      <c r="N122" s="146" t="s">
        <v>227</v>
      </c>
      <c r="O122" s="206"/>
      <c r="P122" s="15"/>
      <c r="Q122" s="5"/>
    </row>
    <row r="123" spans="1:17" s="4" customFormat="1" ht="129.75" customHeight="1" outlineLevel="1" x14ac:dyDescent="0.25">
      <c r="A123" s="156">
        <v>80</v>
      </c>
      <c r="B123" s="171" t="s">
        <v>228</v>
      </c>
      <c r="C123" s="171" t="s">
        <v>202</v>
      </c>
      <c r="D123" s="163" t="s">
        <v>463</v>
      </c>
      <c r="E123" s="165" t="s">
        <v>362</v>
      </c>
      <c r="F123" s="165" t="s">
        <v>229</v>
      </c>
      <c r="G123" s="180" t="s">
        <v>2</v>
      </c>
      <c r="H123" s="68">
        <v>11781702</v>
      </c>
      <c r="I123" s="60">
        <v>11781702</v>
      </c>
      <c r="J123" s="166">
        <v>1E-4</v>
      </c>
      <c r="K123" s="60">
        <f>906285+906285+906285+906285+906285+906285+906285</f>
        <v>6343995</v>
      </c>
      <c r="L123" s="60">
        <f>3000+1500+1500</f>
        <v>6000</v>
      </c>
      <c r="M123" s="176">
        <f t="shared" si="6"/>
        <v>5437707</v>
      </c>
      <c r="N123" s="146" t="s">
        <v>230</v>
      </c>
      <c r="O123" s="206"/>
      <c r="P123" s="15"/>
      <c r="Q123" s="5"/>
    </row>
    <row r="124" spans="1:17" s="4" customFormat="1" ht="129.75" customHeight="1" outlineLevel="1" x14ac:dyDescent="0.25">
      <c r="A124" s="156">
        <v>81</v>
      </c>
      <c r="B124" s="171" t="s">
        <v>231</v>
      </c>
      <c r="C124" s="171" t="s">
        <v>202</v>
      </c>
      <c r="D124" s="163" t="s">
        <v>463</v>
      </c>
      <c r="E124" s="165" t="s">
        <v>362</v>
      </c>
      <c r="F124" s="165" t="s">
        <v>232</v>
      </c>
      <c r="G124" s="180" t="s">
        <v>2</v>
      </c>
      <c r="H124" s="68">
        <f>112000000+16200000</f>
        <v>128200000</v>
      </c>
      <c r="I124" s="60">
        <f>112000000+16200000</f>
        <v>128200000</v>
      </c>
      <c r="J124" s="166">
        <v>1E-4</v>
      </c>
      <c r="K124" s="60">
        <f>3000000+3000000+4000000</f>
        <v>10000000</v>
      </c>
      <c r="L124" s="60">
        <f>25640+12820</f>
        <v>38460</v>
      </c>
      <c r="M124" s="176">
        <f t="shared" si="6"/>
        <v>118200000</v>
      </c>
      <c r="N124" s="146" t="s">
        <v>233</v>
      </c>
      <c r="O124" s="206"/>
      <c r="P124" s="15"/>
      <c r="Q124" s="5"/>
    </row>
    <row r="125" spans="1:17" s="4" customFormat="1" ht="129.75" customHeight="1" outlineLevel="1" x14ac:dyDescent="0.25">
      <c r="A125" s="156">
        <v>82</v>
      </c>
      <c r="B125" s="171" t="s">
        <v>234</v>
      </c>
      <c r="C125" s="171" t="s">
        <v>202</v>
      </c>
      <c r="D125" s="163" t="s">
        <v>463</v>
      </c>
      <c r="E125" s="165" t="s">
        <v>362</v>
      </c>
      <c r="F125" s="165" t="s">
        <v>235</v>
      </c>
      <c r="G125" s="180" t="s">
        <v>2</v>
      </c>
      <c r="H125" s="68">
        <v>26127500</v>
      </c>
      <c r="I125" s="60">
        <v>26127500</v>
      </c>
      <c r="J125" s="166">
        <v>1E-4</v>
      </c>
      <c r="K125" s="60"/>
      <c r="L125" s="60">
        <f>4530</f>
        <v>4530</v>
      </c>
      <c r="M125" s="176">
        <f t="shared" si="6"/>
        <v>26127500</v>
      </c>
      <c r="N125" s="146" t="s">
        <v>236</v>
      </c>
      <c r="O125" s="206"/>
      <c r="P125" s="15"/>
      <c r="Q125" s="5"/>
    </row>
    <row r="126" spans="1:17" s="4" customFormat="1" ht="129.75" customHeight="1" outlineLevel="1" x14ac:dyDescent="0.25">
      <c r="A126" s="156">
        <v>83</v>
      </c>
      <c r="B126" s="171" t="s">
        <v>237</v>
      </c>
      <c r="C126" s="171" t="s">
        <v>202</v>
      </c>
      <c r="D126" s="163" t="s">
        <v>463</v>
      </c>
      <c r="E126" s="165" t="s">
        <v>362</v>
      </c>
      <c r="F126" s="165" t="s">
        <v>238</v>
      </c>
      <c r="G126" s="180" t="s">
        <v>2</v>
      </c>
      <c r="H126" s="68">
        <v>19297200</v>
      </c>
      <c r="I126" s="60">
        <f>10800000+3440000+1440000+3617200</f>
        <v>19297200</v>
      </c>
      <c r="J126" s="166">
        <v>1E-4</v>
      </c>
      <c r="K126" s="60"/>
      <c r="L126" s="60">
        <f>3000</f>
        <v>3000</v>
      </c>
      <c r="M126" s="176">
        <f t="shared" si="6"/>
        <v>19297200</v>
      </c>
      <c r="N126" s="146" t="s">
        <v>239</v>
      </c>
      <c r="O126" s="206"/>
      <c r="P126" s="15"/>
      <c r="Q126" s="5"/>
    </row>
    <row r="127" spans="1:17" s="4" customFormat="1" ht="129.75" customHeight="1" outlineLevel="1" x14ac:dyDescent="0.25">
      <c r="A127" s="156">
        <v>84</v>
      </c>
      <c r="B127" s="171" t="s">
        <v>240</v>
      </c>
      <c r="C127" s="171" t="s">
        <v>202</v>
      </c>
      <c r="D127" s="163" t="s">
        <v>463</v>
      </c>
      <c r="E127" s="165" t="s">
        <v>362</v>
      </c>
      <c r="F127" s="165" t="s">
        <v>225</v>
      </c>
      <c r="G127" s="180" t="s">
        <v>2</v>
      </c>
      <c r="H127" s="68">
        <v>2164000</v>
      </c>
      <c r="I127" s="60">
        <v>2164000</v>
      </c>
      <c r="J127" s="166">
        <v>1E-4</v>
      </c>
      <c r="K127" s="60">
        <f>166462+166462+165000+167000+166500+166500</f>
        <v>997924</v>
      </c>
      <c r="L127" s="60">
        <f>370+54.8+100+100+500</f>
        <v>1124.8</v>
      </c>
      <c r="M127" s="176">
        <f>I127-L127</f>
        <v>2162875.2000000002</v>
      </c>
      <c r="N127" s="146" t="s">
        <v>241</v>
      </c>
      <c r="O127" s="206"/>
      <c r="P127" s="15"/>
      <c r="Q127" s="5"/>
    </row>
    <row r="128" spans="1:17" s="4" customFormat="1" ht="129.75" customHeight="1" outlineLevel="1" x14ac:dyDescent="0.25">
      <c r="A128" s="156">
        <v>85</v>
      </c>
      <c r="B128" s="171" t="s">
        <v>242</v>
      </c>
      <c r="C128" s="171" t="s">
        <v>202</v>
      </c>
      <c r="D128" s="163" t="s">
        <v>463</v>
      </c>
      <c r="E128" s="165" t="s">
        <v>362</v>
      </c>
      <c r="F128" s="165" t="s">
        <v>243</v>
      </c>
      <c r="G128" s="180" t="s">
        <v>2</v>
      </c>
      <c r="H128" s="68">
        <v>253504102</v>
      </c>
      <c r="I128" s="60">
        <v>253504102</v>
      </c>
      <c r="J128" s="166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176">
        <f t="shared" ref="M128:M134" si="7">I128-K128</f>
        <v>117001894</v>
      </c>
      <c r="N128" s="146" t="s">
        <v>244</v>
      </c>
      <c r="O128" s="206"/>
      <c r="P128" s="15"/>
      <c r="Q128" s="5"/>
    </row>
    <row r="129" spans="1:17" s="4" customFormat="1" ht="129.75" customHeight="1" outlineLevel="1" x14ac:dyDescent="0.25">
      <c r="A129" s="156">
        <v>86</v>
      </c>
      <c r="B129" s="171" t="s">
        <v>245</v>
      </c>
      <c r="C129" s="171" t="s">
        <v>202</v>
      </c>
      <c r="D129" s="163" t="s">
        <v>463</v>
      </c>
      <c r="E129" s="165" t="s">
        <v>362</v>
      </c>
      <c r="F129" s="165" t="s">
        <v>243</v>
      </c>
      <c r="G129" s="180" t="s">
        <v>2</v>
      </c>
      <c r="H129" s="68">
        <v>76200000</v>
      </c>
      <c r="I129" s="60">
        <v>76200000</v>
      </c>
      <c r="J129" s="166">
        <v>1E-4</v>
      </c>
      <c r="K129" s="60"/>
      <c r="L129" s="60">
        <f>7620+5520</f>
        <v>13140</v>
      </c>
      <c r="M129" s="176">
        <f t="shared" si="7"/>
        <v>76200000</v>
      </c>
      <c r="N129" s="146" t="s">
        <v>246</v>
      </c>
      <c r="O129" s="206"/>
      <c r="P129" s="15"/>
      <c r="Q129" s="5"/>
    </row>
    <row r="130" spans="1:17" s="4" customFormat="1" ht="121.5" outlineLevel="1" x14ac:dyDescent="0.25">
      <c r="A130" s="156">
        <v>87</v>
      </c>
      <c r="B130" s="171" t="s">
        <v>247</v>
      </c>
      <c r="C130" s="171" t="s">
        <v>202</v>
      </c>
      <c r="D130" s="163" t="s">
        <v>463</v>
      </c>
      <c r="E130" s="165" t="s">
        <v>362</v>
      </c>
      <c r="F130" s="165" t="s">
        <v>248</v>
      </c>
      <c r="G130" s="180" t="s">
        <v>2</v>
      </c>
      <c r="H130" s="68">
        <v>50613970</v>
      </c>
      <c r="I130" s="60">
        <v>50613970</v>
      </c>
      <c r="J130" s="166">
        <v>1E-4</v>
      </c>
      <c r="K130" s="60"/>
      <c r="L130" s="60">
        <f>8800+8800</f>
        <v>17600</v>
      </c>
      <c r="M130" s="176">
        <f t="shared" si="7"/>
        <v>50613970</v>
      </c>
      <c r="N130" s="146" t="s">
        <v>249</v>
      </c>
      <c r="O130" s="206"/>
      <c r="P130" s="15"/>
      <c r="Q130" s="5"/>
    </row>
    <row r="131" spans="1:17" s="4" customFormat="1" ht="121.5" outlineLevel="1" x14ac:dyDescent="0.25">
      <c r="A131" s="156">
        <v>88</v>
      </c>
      <c r="B131" s="171" t="s">
        <v>250</v>
      </c>
      <c r="C131" s="171" t="s">
        <v>202</v>
      </c>
      <c r="D131" s="163" t="s">
        <v>463</v>
      </c>
      <c r="E131" s="165" t="s">
        <v>362</v>
      </c>
      <c r="F131" s="165" t="s">
        <v>251</v>
      </c>
      <c r="G131" s="180" t="s">
        <v>2</v>
      </c>
      <c r="H131" s="68">
        <v>184740000</v>
      </c>
      <c r="I131" s="60">
        <v>184740000</v>
      </c>
      <c r="J131" s="166">
        <v>1E-4</v>
      </c>
      <c r="K131" s="60"/>
      <c r="L131" s="60">
        <f>31700</f>
        <v>31700</v>
      </c>
      <c r="M131" s="176">
        <f t="shared" si="7"/>
        <v>184740000</v>
      </c>
      <c r="N131" s="146" t="s">
        <v>252</v>
      </c>
      <c r="O131" s="206"/>
      <c r="P131" s="15"/>
      <c r="Q131" s="5"/>
    </row>
    <row r="132" spans="1:17" s="4" customFormat="1" ht="121.5" outlineLevel="1" x14ac:dyDescent="0.25">
      <c r="A132" s="156">
        <v>89</v>
      </c>
      <c r="B132" s="171" t="s">
        <v>253</v>
      </c>
      <c r="C132" s="171" t="s">
        <v>202</v>
      </c>
      <c r="D132" s="163" t="s">
        <v>463</v>
      </c>
      <c r="E132" s="165" t="s">
        <v>362</v>
      </c>
      <c r="F132" s="165" t="s">
        <v>254</v>
      </c>
      <c r="G132" s="180" t="s">
        <v>2</v>
      </c>
      <c r="H132" s="68">
        <v>219559596</v>
      </c>
      <c r="I132" s="60">
        <v>219559596</v>
      </c>
      <c r="J132" s="166">
        <v>1E-4</v>
      </c>
      <c r="K132" s="60">
        <f>16889200+16889200+185781196</f>
        <v>219559596</v>
      </c>
      <c r="L132" s="60">
        <f>5294+5294+27550+5533+1000</f>
        <v>44671</v>
      </c>
      <c r="M132" s="176">
        <f t="shared" si="7"/>
        <v>0</v>
      </c>
      <c r="N132" s="146" t="s">
        <v>438</v>
      </c>
      <c r="O132" s="206"/>
      <c r="P132" s="15"/>
      <c r="Q132" s="5"/>
    </row>
    <row r="133" spans="1:17" s="4" customFormat="1" ht="121.5" outlineLevel="1" x14ac:dyDescent="0.25">
      <c r="A133" s="156">
        <v>90</v>
      </c>
      <c r="B133" s="171" t="s">
        <v>255</v>
      </c>
      <c r="C133" s="171" t="s">
        <v>202</v>
      </c>
      <c r="D133" s="163" t="s">
        <v>463</v>
      </c>
      <c r="E133" s="165" t="s">
        <v>362</v>
      </c>
      <c r="F133" s="165" t="s">
        <v>251</v>
      </c>
      <c r="G133" s="180" t="s">
        <v>2</v>
      </c>
      <c r="H133" s="68">
        <v>29081500</v>
      </c>
      <c r="I133" s="60">
        <v>29081500</v>
      </c>
      <c r="J133" s="166">
        <v>1E-4</v>
      </c>
      <c r="K133" s="60"/>
      <c r="L133" s="60">
        <f>1000+4000+3000+1000</f>
        <v>9000</v>
      </c>
      <c r="M133" s="176">
        <f t="shared" si="7"/>
        <v>29081500</v>
      </c>
      <c r="N133" s="146" t="s">
        <v>256</v>
      </c>
      <c r="O133" s="206"/>
      <c r="P133" s="15"/>
      <c r="Q133" s="5"/>
    </row>
    <row r="134" spans="1:17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165" t="s">
        <v>362</v>
      </c>
      <c r="F134" s="165" t="s">
        <v>258</v>
      </c>
      <c r="G134" s="180" t="s">
        <v>2</v>
      </c>
      <c r="H134" s="68">
        <v>12060940</v>
      </c>
      <c r="I134" s="79">
        <v>12060940</v>
      </c>
      <c r="J134" s="166">
        <v>1E-4</v>
      </c>
      <c r="K134" s="60"/>
      <c r="L134" s="60">
        <v>2170</v>
      </c>
      <c r="M134" s="176">
        <f t="shared" si="7"/>
        <v>12060940</v>
      </c>
      <c r="N134" s="146" t="s">
        <v>259</v>
      </c>
      <c r="O134" s="206"/>
      <c r="P134" s="15"/>
      <c r="Q134" s="5"/>
    </row>
    <row r="135" spans="1:17" s="9" customFormat="1" ht="30" customHeight="1" x14ac:dyDescent="0.25">
      <c r="A135" s="483" t="s">
        <v>437</v>
      </c>
      <c r="B135" s="484"/>
      <c r="C135" s="484"/>
      <c r="D135" s="508" t="s">
        <v>29</v>
      </c>
      <c r="E135" s="490"/>
      <c r="F135" s="491"/>
      <c r="G135" s="101"/>
      <c r="H135" s="10">
        <f>SUMIF($G$114:$G$134,D135,$H$114:$H$134)</f>
        <v>0</v>
      </c>
      <c r="I135" s="13">
        <f>SUMIF($G$104:$G$134,D135,$I$104:$I$134)</f>
        <v>0</v>
      </c>
      <c r="J135" s="13"/>
      <c r="K135" s="11">
        <f>SUMIF($G$114:$G$134,D135,$K$114:$K$134)</f>
        <v>0</v>
      </c>
      <c r="L135" s="13">
        <f>SUMIF($G$104:$G$134,D135,$L$104:$L$134)</f>
        <v>0</v>
      </c>
      <c r="M135" s="13">
        <f>SUMIF($G$104:$G$134,D135,$M$104:$M$134)</f>
        <v>0</v>
      </c>
      <c r="N135" s="147"/>
      <c r="O135" s="193"/>
      <c r="P135" s="8"/>
      <c r="Q135" s="5"/>
    </row>
    <row r="136" spans="1:17" s="9" customFormat="1" ht="27" customHeight="1" x14ac:dyDescent="0.25">
      <c r="A136" s="485"/>
      <c r="B136" s="486"/>
      <c r="C136" s="486"/>
      <c r="D136" s="492" t="s">
        <v>2</v>
      </c>
      <c r="E136" s="481"/>
      <c r="F136" s="482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623624650.20000005</v>
      </c>
      <c r="L136" s="11">
        <f>SUMIF($G$114:$G$134,D136,$L$114:$L$134)</f>
        <v>515765.2</v>
      </c>
      <c r="M136" s="11">
        <f>SUMIF($G$114:$G$134,D136,$M$114:$M$134)</f>
        <v>1388835135</v>
      </c>
      <c r="N136" s="148"/>
      <c r="O136" s="197"/>
      <c r="P136" s="8"/>
      <c r="Q136" s="5"/>
    </row>
    <row r="137" spans="1:17" s="9" customFormat="1" ht="28.5" customHeight="1" x14ac:dyDescent="0.25">
      <c r="A137" s="485"/>
      <c r="B137" s="486"/>
      <c r="C137" s="486"/>
      <c r="D137" s="492" t="s">
        <v>51</v>
      </c>
      <c r="E137" s="481"/>
      <c r="F137" s="482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48"/>
      <c r="O137" s="197"/>
      <c r="P137" s="8"/>
      <c r="Q137" s="5"/>
    </row>
    <row r="138" spans="1:17" s="9" customFormat="1" ht="30" customHeight="1" thickBot="1" x14ac:dyDescent="0.3">
      <c r="A138" s="487"/>
      <c r="B138" s="488"/>
      <c r="C138" s="488"/>
      <c r="D138" s="493" t="s">
        <v>71</v>
      </c>
      <c r="E138" s="494"/>
      <c r="F138" s="495"/>
      <c r="G138" s="57"/>
      <c r="H138" s="12">
        <f>SUMIF($G$114:$G$134,D138,$H$114:$H$134)</f>
        <v>0</v>
      </c>
      <c r="I138" s="12">
        <f>SUMIF($G$104:$G$134,D138,$I$104:$I$134)</f>
        <v>0</v>
      </c>
      <c r="J138" s="12"/>
      <c r="K138" s="12">
        <f>SUMIF($G$104:$G$134,D138,$K$104:$K$134)</f>
        <v>0</v>
      </c>
      <c r="L138" s="12">
        <f>SUMIF($G$104:$G$134,D138,$L$104:$L$134)</f>
        <v>0</v>
      </c>
      <c r="M138" s="12">
        <f>SUMIF($G$104:$G$134,D138,$M$104:$M$134)</f>
        <v>0</v>
      </c>
      <c r="N138" s="150"/>
      <c r="O138" s="196"/>
      <c r="P138" s="8"/>
      <c r="Q138" s="5"/>
    </row>
    <row r="139" spans="1:17" s="9" customFormat="1" ht="15.75" customHeight="1" x14ac:dyDescent="0.25">
      <c r="A139" s="496" t="s">
        <v>260</v>
      </c>
      <c r="B139" s="497"/>
      <c r="C139" s="498"/>
      <c r="D139" s="501" t="s">
        <v>29</v>
      </c>
      <c r="E139" s="502"/>
      <c r="F139" s="502"/>
      <c r="G139" s="80"/>
      <c r="H139" s="14">
        <f t="shared" ref="H139:M142" si="8">H46+H57+H68+H100+H110+H135</f>
        <v>340755742.28000003</v>
      </c>
      <c r="I139" s="14">
        <f t="shared" si="8"/>
        <v>141932627.11000001</v>
      </c>
      <c r="J139" s="14">
        <f t="shared" si="8"/>
        <v>0</v>
      </c>
      <c r="K139" s="14">
        <f t="shared" si="8"/>
        <v>50627856.139612287</v>
      </c>
      <c r="L139" s="14">
        <f t="shared" si="8"/>
        <v>19389223.196404777</v>
      </c>
      <c r="M139" s="14">
        <f t="shared" si="8"/>
        <v>92066339.400387689</v>
      </c>
      <c r="N139" s="152"/>
      <c r="O139" s="193"/>
      <c r="P139" s="8"/>
      <c r="Q139" s="5"/>
    </row>
    <row r="140" spans="1:17" s="9" customFormat="1" ht="17.25" customHeight="1" x14ac:dyDescent="0.25">
      <c r="A140" s="485"/>
      <c r="B140" s="486"/>
      <c r="C140" s="499"/>
      <c r="D140" s="482" t="s">
        <v>2</v>
      </c>
      <c r="E140" s="503"/>
      <c r="F140" s="503"/>
      <c r="G140" s="80"/>
      <c r="H140" s="14">
        <f t="shared" si="8"/>
        <v>179740663940.10001</v>
      </c>
      <c r="I140" s="14">
        <f t="shared" si="8"/>
        <v>198631078942.10999</v>
      </c>
      <c r="J140" s="14">
        <f t="shared" si="8"/>
        <v>0</v>
      </c>
      <c r="K140" s="14">
        <f t="shared" si="8"/>
        <v>97381147995.044724</v>
      </c>
      <c r="L140" s="14">
        <f t="shared" si="8"/>
        <v>47488691505.269478</v>
      </c>
      <c r="M140" s="14">
        <f t="shared" si="8"/>
        <v>101250927746.26526</v>
      </c>
      <c r="N140" s="148"/>
      <c r="O140" s="197"/>
      <c r="P140" s="8"/>
      <c r="Q140" s="5"/>
    </row>
    <row r="141" spans="1:17" s="9" customFormat="1" ht="15" customHeight="1" x14ac:dyDescent="0.25">
      <c r="A141" s="485"/>
      <c r="B141" s="486"/>
      <c r="C141" s="499"/>
      <c r="D141" s="482" t="s">
        <v>51</v>
      </c>
      <c r="E141" s="503"/>
      <c r="F141" s="503"/>
      <c r="G141" s="54"/>
      <c r="H141" s="14">
        <f t="shared" si="8"/>
        <v>481140620.32000005</v>
      </c>
      <c r="I141" s="14">
        <f t="shared" si="8"/>
        <v>361808647.42000002</v>
      </c>
      <c r="J141" s="14">
        <f t="shared" si="8"/>
        <v>0</v>
      </c>
      <c r="K141" s="14">
        <f t="shared" si="8"/>
        <v>115389872.29957025</v>
      </c>
      <c r="L141" s="14">
        <f t="shared" si="8"/>
        <v>63336232.260840118</v>
      </c>
      <c r="M141" s="14">
        <f t="shared" si="8"/>
        <v>246418775.12042975</v>
      </c>
      <c r="N141" s="148"/>
      <c r="O141" s="197"/>
      <c r="P141" s="8"/>
      <c r="Q141" s="5"/>
    </row>
    <row r="142" spans="1:17" s="9" customFormat="1" ht="25.5" customHeight="1" thickBot="1" x14ac:dyDescent="0.3">
      <c r="A142" s="487"/>
      <c r="B142" s="488"/>
      <c r="C142" s="500"/>
      <c r="D142" s="504" t="s">
        <v>71</v>
      </c>
      <c r="E142" s="505"/>
      <c r="F142" s="505"/>
      <c r="G142" s="55"/>
      <c r="H142" s="14">
        <f t="shared" si="8"/>
        <v>31777311969</v>
      </c>
      <c r="I142" s="14">
        <f t="shared" si="8"/>
        <v>31859249643</v>
      </c>
      <c r="J142" s="14">
        <f t="shared" si="8"/>
        <v>0</v>
      </c>
      <c r="K142" s="14">
        <f t="shared" si="8"/>
        <v>11745743548.709158</v>
      </c>
      <c r="L142" s="14">
        <f t="shared" si="8"/>
        <v>3501920555.228754</v>
      </c>
      <c r="M142" s="14">
        <f t="shared" si="8"/>
        <v>20113506094.29084</v>
      </c>
      <c r="N142" s="149"/>
      <c r="O142" s="196"/>
      <c r="P142" s="8"/>
      <c r="Q142" s="5"/>
    </row>
    <row r="143" spans="1:17" s="9" customFormat="1" ht="15" customHeight="1" thickBot="1" x14ac:dyDescent="0.3">
      <c r="A143" s="487"/>
      <c r="B143" s="488"/>
      <c r="C143" s="500"/>
      <c r="D143" s="480" t="s">
        <v>61</v>
      </c>
      <c r="E143" s="481"/>
      <c r="F143" s="482"/>
      <c r="G143" s="55"/>
      <c r="H143" s="14">
        <f>H50</f>
        <v>24086688</v>
      </c>
      <c r="I143" s="14">
        <f t="shared" ref="I143:M143" si="9">I50</f>
        <v>18384172.012149811</v>
      </c>
      <c r="J143" s="14">
        <f t="shared" si="9"/>
        <v>0</v>
      </c>
      <c r="K143" s="14">
        <f t="shared" si="9"/>
        <v>3889303.4021576373</v>
      </c>
      <c r="L143" s="14">
        <f t="shared" si="9"/>
        <v>2687639.4595199237</v>
      </c>
      <c r="M143" s="14">
        <f t="shared" si="9"/>
        <v>14494868.609992173</v>
      </c>
      <c r="N143" s="149"/>
      <c r="O143" s="199"/>
      <c r="P143" s="8"/>
      <c r="Q143" s="5"/>
    </row>
    <row r="144" spans="1:17" ht="51" customHeight="1" thickBot="1" x14ac:dyDescent="0.3">
      <c r="A144" s="210">
        <v>96</v>
      </c>
      <c r="B144" s="209" t="s">
        <v>261</v>
      </c>
      <c r="C144" s="83" t="s">
        <v>262</v>
      </c>
      <c r="D144" s="83" t="s">
        <v>463</v>
      </c>
      <c r="E144" s="83" t="s">
        <v>363</v>
      </c>
      <c r="F144" s="83" t="s">
        <v>263</v>
      </c>
      <c r="G144" s="83" t="s">
        <v>2</v>
      </c>
      <c r="H144" s="84">
        <f>834800635300+144000000000+32000000000+132000000000+3500000000+14000000000+2900000000+4000000000</f>
        <v>1167200635300</v>
      </c>
      <c r="I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2">
        <v>1E-4</v>
      </c>
      <c r="K144" s="85"/>
      <c r="L144" s="85"/>
      <c r="M144" s="86">
        <f>I144-K144</f>
        <v>1161789822801.3999</v>
      </c>
      <c r="N144" s="153" t="s">
        <v>76</v>
      </c>
      <c r="O144" s="207"/>
      <c r="Q144" s="9"/>
    </row>
    <row r="145" spans="1:17" ht="21" customHeight="1" x14ac:dyDescent="0.25">
      <c r="A145" s="188"/>
      <c r="B145" s="211"/>
      <c r="C145" s="188"/>
      <c r="D145" s="188"/>
      <c r="E145" s="188"/>
      <c r="F145" s="188"/>
      <c r="G145" s="188"/>
      <c r="H145" s="212"/>
      <c r="I145" s="213"/>
      <c r="J145" s="214"/>
      <c r="K145" s="213"/>
      <c r="L145" s="213"/>
      <c r="M145" s="215"/>
      <c r="N145" s="188"/>
      <c r="O145" s="8"/>
      <c r="Q145" s="9"/>
    </row>
    <row r="146" spans="1:17" ht="17.25" x14ac:dyDescent="0.3">
      <c r="B146" s="87" t="s">
        <v>2</v>
      </c>
      <c r="C146" s="88"/>
      <c r="G146" s="90"/>
      <c r="H146" s="16"/>
      <c r="I146" s="16"/>
      <c r="M146" s="92"/>
      <c r="N146" s="18"/>
    </row>
    <row r="147" spans="1:17" ht="17.25" x14ac:dyDescent="0.3">
      <c r="B147" s="87" t="s">
        <v>51</v>
      </c>
      <c r="C147" s="88">
        <v>404.32</v>
      </c>
      <c r="H147" s="16"/>
      <c r="I147" s="17"/>
      <c r="J147" s="93"/>
      <c r="L147" s="16"/>
      <c r="M147" s="94"/>
      <c r="N147" s="95"/>
    </row>
    <row r="148" spans="1:17" ht="17.25" x14ac:dyDescent="0.3">
      <c r="B148" s="87" t="s">
        <v>71</v>
      </c>
      <c r="C148" s="96">
        <v>2.6840000000000002</v>
      </c>
      <c r="I148" s="16"/>
      <c r="L148" s="16"/>
      <c r="M148" s="190"/>
      <c r="N148" s="97"/>
    </row>
    <row r="149" spans="1:17" ht="17.25" x14ac:dyDescent="0.3">
      <c r="B149" s="87" t="s">
        <v>29</v>
      </c>
      <c r="C149" s="88">
        <v>437.27</v>
      </c>
      <c r="I149" s="17"/>
      <c r="L149" s="16"/>
      <c r="M149" s="17"/>
      <c r="N149" s="97"/>
    </row>
    <row r="150" spans="1:17" ht="17.25" x14ac:dyDescent="0.3">
      <c r="B150" s="87" t="s">
        <v>61</v>
      </c>
      <c r="C150" s="88">
        <v>537.15</v>
      </c>
      <c r="L150" s="18"/>
      <c r="M150" s="16"/>
      <c r="N150" s="5"/>
    </row>
    <row r="151" spans="1:17" x14ac:dyDescent="0.25">
      <c r="N151" s="5"/>
    </row>
    <row r="152" spans="1:17" x14ac:dyDescent="0.25">
      <c r="M152" s="19"/>
    </row>
    <row r="153" spans="1:17" x14ac:dyDescent="0.25">
      <c r="I153" s="190"/>
      <c r="L153" s="16"/>
      <c r="M153" s="190"/>
    </row>
    <row r="154" spans="1:17" x14ac:dyDescent="0.25">
      <c r="M154" s="16"/>
    </row>
    <row r="155" spans="1:17" x14ac:dyDescent="0.25">
      <c r="M155" s="16"/>
    </row>
    <row r="159" spans="1:17" x14ac:dyDescent="0.25">
      <c r="M159" s="16"/>
    </row>
    <row r="160" spans="1:17" s="17" customFormat="1" x14ac:dyDescent="0.25">
      <c r="B160" s="20"/>
      <c r="C160" s="6"/>
      <c r="D160" s="6"/>
      <c r="E160" s="89"/>
      <c r="F160" s="6"/>
      <c r="G160" s="6"/>
      <c r="H160" s="6"/>
      <c r="I160" s="6"/>
      <c r="J160" s="91"/>
      <c r="K160" s="6"/>
      <c r="L160" s="6"/>
      <c r="M160" s="16"/>
      <c r="N160" s="6"/>
      <c r="O160" s="5"/>
      <c r="P160" s="5"/>
      <c r="Q160" s="6"/>
    </row>
    <row r="161" spans="17:17" x14ac:dyDescent="0.25">
      <c r="Q161" s="17"/>
    </row>
  </sheetData>
  <sheetProtection formatCells="0" formatColumns="0" formatRows="0"/>
  <protectedRanges>
    <protectedRange password="C670" sqref="N79:O91 E73:H76 E79:H91 I73:O76 I79:M91 A64:O67 A79:D91 A73:D76" name="Maria"/>
    <protectedRange algorithmName="SHA-512" hashValue="R0m7mG/o0t2+7dbQTzM5iQkFX2amgAS+iAGJudQnnweh07e6LDAbSuhvcwbzcp7drP+HIG4d/wHfMCXiBXmkow==" saltValue="hXh6Ce3lteSj/cvmR3BSBw==" spinCount="100000" sqref="N114:O134 N95:O97 N144:O145 A144:L145 A114:L134 A95:L97" name="Narine"/>
    <protectedRange algorithmName="SHA-512" hashValue="/qDn2zoAPl6XveVGTDHZcWIjR6P6fmKMYiOIx92BVGuoQ3TYOXlsDsoiDSLs1D9Ugjb3A3EixLJ11cGk8PSHvw==" saltValue="LV/JN9wntl8CkZ3QpoEkqA==" spinCount="100000" sqref="N61:O62 N97:O99 E97:L99 E61:L62 A61:D62 A97:D99" name="Nara"/>
    <protectedRange algorithmName="SHA-512" hashValue="2hnhy85Hze6pXZTujHMyiGA7lE9yapdzAMEgpTAQUbEvX5wkbgVJAYj8efzABUddHb+HHBXm+QO7FFQ7DdcL0Q==" saltValue="/3Se5MhqYIbXZuII16lL6A==" spinCount="100000" sqref="E104:H109 I104:O109 E72:O72 A72:D72 A104:D109" name="Nona"/>
  </protectedRanges>
  <mergeCells count="163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O15:O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O17:O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O19:O20"/>
    <mergeCell ref="A21:A22"/>
    <mergeCell ref="B21:B22"/>
    <mergeCell ref="E21:E22"/>
    <mergeCell ref="F21:F22"/>
    <mergeCell ref="N21:N22"/>
    <mergeCell ref="O21:O22"/>
    <mergeCell ref="E19:E20"/>
    <mergeCell ref="F19:F20"/>
    <mergeCell ref="J19:J22"/>
    <mergeCell ref="N19:N20"/>
    <mergeCell ref="J23:J24"/>
    <mergeCell ref="N23:N24"/>
    <mergeCell ref="O23:O24"/>
    <mergeCell ref="A25:A26"/>
    <mergeCell ref="B25:B26"/>
    <mergeCell ref="E25:E26"/>
    <mergeCell ref="F25:F26"/>
    <mergeCell ref="J25:J26"/>
    <mergeCell ref="N25:N26"/>
    <mergeCell ref="O25:O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41" priority="5" operator="notEqual">
      <formula>#REF!</formula>
    </cfRule>
  </conditionalFormatting>
  <conditionalFormatting sqref="I94 I6:I33 I35:I44">
    <cfRule type="cellIs" dxfId="40" priority="4" operator="notEqual">
      <formula>#REF!</formula>
    </cfRule>
  </conditionalFormatting>
  <conditionalFormatting sqref="H21">
    <cfRule type="cellIs" dxfId="39" priority="3" operator="notEqual">
      <formula>#REF!</formula>
    </cfRule>
  </conditionalFormatting>
  <conditionalFormatting sqref="I45">
    <cfRule type="cellIs" dxfId="38" priority="2" operator="notEqual">
      <formula>#REF!</formula>
    </cfRule>
  </conditionalFormatting>
  <conditionalFormatting sqref="I78">
    <cfRule type="cellIs" dxfId="37" priority="1" operator="notEqual">
      <formula>#REF!</formula>
    </cfRule>
  </conditionalFormatting>
  <pageMargins left="0" right="0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zoomScale="95" zoomScaleNormal="95" workbookViewId="0">
      <selection activeCell="D141" sqref="D141:L141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6.140625" style="6" customWidth="1"/>
    <col min="4" max="4" width="12.85546875" style="6" customWidth="1"/>
    <col min="5" max="5" width="16.140625" style="6" hidden="1" customWidth="1"/>
    <col min="6" max="6" width="21.5703125" style="6" hidden="1" customWidth="1"/>
    <col min="7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</row>
    <row r="2" spans="1:22" ht="49.5" customHeight="1" x14ac:dyDescent="0.4">
      <c r="A2" s="570" t="s">
        <v>493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425</v>
      </c>
      <c r="G4" s="24" t="s">
        <v>426</v>
      </c>
      <c r="H4" s="24" t="s">
        <v>427</v>
      </c>
      <c r="I4" s="24" t="s">
        <v>428</v>
      </c>
      <c r="J4" s="24" t="s">
        <v>429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533">
        <v>1</v>
      </c>
      <c r="B5" s="571" t="s">
        <v>25</v>
      </c>
      <c r="C5" s="28" t="s">
        <v>26</v>
      </c>
      <c r="D5" s="530" t="s">
        <v>27</v>
      </c>
      <c r="E5" s="530" t="s">
        <v>29</v>
      </c>
      <c r="F5" s="29">
        <v>7300000</v>
      </c>
      <c r="G5" s="29">
        <v>5822389.5</v>
      </c>
      <c r="H5" s="30">
        <v>7.4999999999999997E-3</v>
      </c>
      <c r="I5" s="255"/>
      <c r="J5" s="284">
        <f t="shared" ref="J5:J15" si="0">G5-I5</f>
        <v>5822389.5</v>
      </c>
      <c r="K5" s="542" t="s">
        <v>299</v>
      </c>
      <c r="L5" s="258" t="s">
        <v>28</v>
      </c>
      <c r="M5" s="31" t="s">
        <v>29</v>
      </c>
      <c r="N5" s="268">
        <v>7300000</v>
      </c>
      <c r="O5" s="294">
        <f>5822389.5+13412.1+4470.7+716451.75+24588.85+716451.75+2235.35</f>
        <v>7299999.9999999991</v>
      </c>
      <c r="P5" s="30" t="s">
        <v>30</v>
      </c>
      <c r="Q5" s="294">
        <f>595000+119000+119000+119000+119000+119000</f>
        <v>1190000</v>
      </c>
      <c r="R5" s="294">
        <v>652083.5</v>
      </c>
      <c r="S5" s="268">
        <f t="shared" ref="S5:S33" si="1">O5-Q5</f>
        <v>6109999.9999999991</v>
      </c>
      <c r="T5" s="292" t="s">
        <v>31</v>
      </c>
      <c r="V5" s="5"/>
    </row>
    <row r="6" spans="1:22" ht="75.75" customHeight="1" outlineLevel="1" x14ac:dyDescent="0.25">
      <c r="A6" s="547"/>
      <c r="B6" s="528"/>
      <c r="C6" s="33" t="s">
        <v>32</v>
      </c>
      <c r="D6" s="553"/>
      <c r="E6" s="553"/>
      <c r="F6" s="34">
        <v>7300000</v>
      </c>
      <c r="G6" s="34">
        <v>7300000</v>
      </c>
      <c r="H6" s="278" t="s">
        <v>34</v>
      </c>
      <c r="I6" s="277"/>
      <c r="J6" s="273">
        <f t="shared" si="0"/>
        <v>7300000</v>
      </c>
      <c r="K6" s="552"/>
      <c r="L6" s="276" t="s">
        <v>33</v>
      </c>
      <c r="M6" s="272" t="s">
        <v>29</v>
      </c>
      <c r="N6" s="294">
        <v>7300000</v>
      </c>
      <c r="O6" s="294">
        <v>7299999.9999999981</v>
      </c>
      <c r="P6" s="278" t="s">
        <v>34</v>
      </c>
      <c r="Q6" s="294">
        <f>5474999.9+304166.7+304166.7+304166.7+304166.7+304166.7</f>
        <v>6995833.4000000013</v>
      </c>
      <c r="R6" s="294">
        <f>1226756+8356.16</f>
        <v>1235112.1599999999</v>
      </c>
      <c r="S6" s="294">
        <f t="shared" si="1"/>
        <v>304166.59999999683</v>
      </c>
      <c r="T6" s="204" t="s">
        <v>35</v>
      </c>
      <c r="V6" s="5"/>
    </row>
    <row r="7" spans="1:22" ht="64.5" customHeight="1" outlineLevel="1" x14ac:dyDescent="0.25">
      <c r="A7" s="270">
        <v>2</v>
      </c>
      <c r="B7" s="271" t="s">
        <v>25</v>
      </c>
      <c r="C7" s="271" t="s">
        <v>36</v>
      </c>
      <c r="D7" s="276" t="s">
        <v>27</v>
      </c>
      <c r="E7" s="272" t="s">
        <v>29</v>
      </c>
      <c r="F7" s="34">
        <v>14060527</v>
      </c>
      <c r="G7" s="34">
        <v>14060527</v>
      </c>
      <c r="H7" s="293">
        <v>7.4999999999999997E-3</v>
      </c>
      <c r="I7" s="34">
        <v>3044232</v>
      </c>
      <c r="J7" s="273">
        <f t="shared" si="0"/>
        <v>11016295</v>
      </c>
      <c r="K7" s="275" t="s">
        <v>300</v>
      </c>
      <c r="L7" s="276" t="s">
        <v>37</v>
      </c>
      <c r="M7" s="272" t="s">
        <v>29</v>
      </c>
      <c r="N7" s="294">
        <v>14060526.73</v>
      </c>
      <c r="O7" s="294">
        <v>14060526.73</v>
      </c>
      <c r="P7" s="293">
        <v>7.4999999999999997E-3</v>
      </c>
      <c r="Q7" s="294">
        <f>5858552.73979552+234342.1+234342.1+98055764.9/418.43+98932204.4/422.17+104987604.2/448.01</f>
        <v>7030263.2398433303</v>
      </c>
      <c r="R7" s="294">
        <f>1294472.69934396+40254.3+39195.3+16095956/418.43+15796672.6/422.17+16433280.1/448.01</f>
        <v>1486488.2092536527</v>
      </c>
      <c r="S7" s="294">
        <f t="shared" si="1"/>
        <v>7030263.4901566701</v>
      </c>
      <c r="T7" s="204" t="s">
        <v>31</v>
      </c>
      <c r="V7" s="5"/>
    </row>
    <row r="8" spans="1:22" ht="67.5" outlineLevel="1" x14ac:dyDescent="0.25">
      <c r="A8" s="270">
        <v>3</v>
      </c>
      <c r="B8" s="271" t="s">
        <v>25</v>
      </c>
      <c r="C8" s="271" t="s">
        <v>38</v>
      </c>
      <c r="D8" s="276" t="s">
        <v>27</v>
      </c>
      <c r="E8" s="272" t="s">
        <v>29</v>
      </c>
      <c r="F8" s="34">
        <v>75000000</v>
      </c>
      <c r="G8" s="34">
        <v>0</v>
      </c>
      <c r="H8" s="293">
        <v>1.8499999999999999E-2</v>
      </c>
      <c r="I8" s="277"/>
      <c r="J8" s="273">
        <f t="shared" si="0"/>
        <v>0</v>
      </c>
      <c r="K8" s="275" t="s">
        <v>301</v>
      </c>
      <c r="L8" s="276" t="s">
        <v>39</v>
      </c>
      <c r="M8" s="272" t="s">
        <v>29</v>
      </c>
      <c r="N8" s="294">
        <v>75000000</v>
      </c>
      <c r="O8" s="294"/>
      <c r="P8" s="293" t="s">
        <v>40</v>
      </c>
      <c r="Q8" s="294"/>
      <c r="R8" s="294">
        <f>1932812.5+93750+93750+93750+93750+42000937.5/448.01</f>
        <v>2401562.5</v>
      </c>
      <c r="S8" s="294">
        <f t="shared" si="1"/>
        <v>0</v>
      </c>
      <c r="T8" s="204" t="s">
        <v>35</v>
      </c>
      <c r="V8" s="5"/>
    </row>
    <row r="9" spans="1:22" ht="57.75" customHeight="1" outlineLevel="1" x14ac:dyDescent="0.25">
      <c r="A9" s="532">
        <v>4</v>
      </c>
      <c r="B9" s="521" t="s">
        <v>25</v>
      </c>
      <c r="C9" s="521" t="s">
        <v>38</v>
      </c>
      <c r="D9" s="276" t="s">
        <v>27</v>
      </c>
      <c r="E9" s="272" t="s">
        <v>29</v>
      </c>
      <c r="F9" s="34">
        <v>10200000</v>
      </c>
      <c r="G9" s="34">
        <v>0</v>
      </c>
      <c r="H9" s="293">
        <v>7.4999999999999997E-3</v>
      </c>
      <c r="I9" s="278"/>
      <c r="J9" s="273">
        <f t="shared" si="0"/>
        <v>0</v>
      </c>
      <c r="K9" s="541" t="s">
        <v>301</v>
      </c>
      <c r="L9" s="531" t="s">
        <v>41</v>
      </c>
      <c r="M9" s="272" t="s">
        <v>29</v>
      </c>
      <c r="N9" s="294">
        <v>10200000</v>
      </c>
      <c r="O9" s="294">
        <f>1075381.69+59500</f>
        <v>1134881.69</v>
      </c>
      <c r="P9" s="539" t="s">
        <v>30</v>
      </c>
      <c r="Q9" s="294">
        <v>0</v>
      </c>
      <c r="R9" s="294">
        <f>200690.672577969+15587.2+6522152.1/418.43+6580448.3/422.17+6983221.5/448.01</f>
        <v>263039.47283004946</v>
      </c>
      <c r="S9" s="294">
        <f>O9-Q9</f>
        <v>1134881.69</v>
      </c>
      <c r="T9" s="573" t="s">
        <v>35</v>
      </c>
      <c r="V9" s="5"/>
    </row>
    <row r="10" spans="1:22" ht="57.75" customHeight="1" outlineLevel="1" x14ac:dyDescent="0.25">
      <c r="A10" s="533"/>
      <c r="B10" s="528"/>
      <c r="C10" s="528"/>
      <c r="D10" s="276" t="s">
        <v>463</v>
      </c>
      <c r="E10" s="272"/>
      <c r="F10" s="34"/>
      <c r="G10" s="34"/>
      <c r="H10" s="293"/>
      <c r="I10" s="278"/>
      <c r="J10" s="273"/>
      <c r="K10" s="542"/>
      <c r="L10" s="530"/>
      <c r="M10" s="272" t="s">
        <v>2</v>
      </c>
      <c r="N10" s="294"/>
      <c r="O10" s="294">
        <v>244081445</v>
      </c>
      <c r="P10" s="559"/>
      <c r="Q10" s="294"/>
      <c r="R10" s="294">
        <f>9774294.3+915305.4+915305.4+915305.4</f>
        <v>12520210.500000002</v>
      </c>
      <c r="S10" s="294">
        <f>O10-Q10</f>
        <v>244081445</v>
      </c>
      <c r="T10" s="574"/>
      <c r="V10" s="5"/>
    </row>
    <row r="11" spans="1:22" ht="76.5" customHeight="1" outlineLevel="1" x14ac:dyDescent="0.25">
      <c r="A11" s="532">
        <v>5</v>
      </c>
      <c r="B11" s="521" t="s">
        <v>25</v>
      </c>
      <c r="C11" s="521" t="s">
        <v>42</v>
      </c>
      <c r="D11" s="276" t="s">
        <v>126</v>
      </c>
      <c r="E11" s="272"/>
      <c r="F11" s="34"/>
      <c r="G11" s="34"/>
      <c r="H11" s="293"/>
      <c r="I11" s="278"/>
      <c r="J11" s="273"/>
      <c r="K11" s="541" t="s">
        <v>302</v>
      </c>
      <c r="L11" s="531" t="s">
        <v>43</v>
      </c>
      <c r="M11" s="272" t="s">
        <v>29</v>
      </c>
      <c r="N11" s="294">
        <v>10000000</v>
      </c>
      <c r="O11" s="294"/>
      <c r="P11" s="539" t="s">
        <v>44</v>
      </c>
      <c r="Q11" s="294"/>
      <c r="R11" s="294">
        <v>50000</v>
      </c>
      <c r="S11" s="294">
        <f>O11-Q11</f>
        <v>0</v>
      </c>
      <c r="T11" s="573" t="s">
        <v>45</v>
      </c>
      <c r="V11" s="5"/>
    </row>
    <row r="12" spans="1:22" ht="76.5" customHeight="1" outlineLevel="1" x14ac:dyDescent="0.25">
      <c r="A12" s="533"/>
      <c r="B12" s="528"/>
      <c r="C12" s="528"/>
      <c r="D12" s="276" t="s">
        <v>463</v>
      </c>
      <c r="E12" s="272"/>
      <c r="F12" s="34"/>
      <c r="G12" s="34"/>
      <c r="H12" s="293"/>
      <c r="I12" s="278"/>
      <c r="J12" s="273"/>
      <c r="K12" s="542"/>
      <c r="L12" s="530"/>
      <c r="M12" s="276" t="s">
        <v>2</v>
      </c>
      <c r="N12" s="294"/>
      <c r="O12" s="294"/>
      <c r="P12" s="559"/>
      <c r="Q12" s="294"/>
      <c r="R12" s="294"/>
      <c r="S12" s="294">
        <f t="shared" si="1"/>
        <v>0</v>
      </c>
      <c r="T12" s="574"/>
      <c r="V12" s="5"/>
    </row>
    <row r="13" spans="1:22" ht="76.5" customHeight="1" outlineLevel="1" x14ac:dyDescent="0.25">
      <c r="A13" s="532">
        <v>6</v>
      </c>
      <c r="B13" s="521" t="s">
        <v>25</v>
      </c>
      <c r="C13" s="521" t="s">
        <v>46</v>
      </c>
      <c r="D13" s="276" t="s">
        <v>27</v>
      </c>
      <c r="E13" s="272"/>
      <c r="F13" s="34"/>
      <c r="G13" s="34"/>
      <c r="H13" s="293"/>
      <c r="I13" s="278"/>
      <c r="J13" s="273"/>
      <c r="K13" s="541" t="s">
        <v>303</v>
      </c>
      <c r="L13" s="531" t="s">
        <v>47</v>
      </c>
      <c r="M13" s="272" t="s">
        <v>29</v>
      </c>
      <c r="N13" s="294">
        <v>83000000</v>
      </c>
      <c r="O13" s="294"/>
      <c r="P13" s="539" t="s">
        <v>464</v>
      </c>
      <c r="Q13" s="294"/>
      <c r="R13" s="294">
        <f>1930326.40003794+103750+103750+103750+103750+46481037.5/448.01</f>
        <v>2449076.4000379397</v>
      </c>
      <c r="S13" s="294">
        <f t="shared" si="1"/>
        <v>0</v>
      </c>
      <c r="T13" s="573" t="s">
        <v>35</v>
      </c>
      <c r="V13" s="5"/>
    </row>
    <row r="14" spans="1:22" ht="76.5" customHeight="1" outlineLevel="1" x14ac:dyDescent="0.25">
      <c r="A14" s="533"/>
      <c r="B14" s="528"/>
      <c r="C14" s="528"/>
      <c r="D14" s="276" t="s">
        <v>463</v>
      </c>
      <c r="E14" s="272"/>
      <c r="F14" s="34"/>
      <c r="G14" s="34"/>
      <c r="H14" s="293"/>
      <c r="I14" s="278"/>
      <c r="J14" s="273"/>
      <c r="K14" s="542"/>
      <c r="L14" s="530"/>
      <c r="M14" s="276" t="s">
        <v>2</v>
      </c>
      <c r="N14" s="294"/>
      <c r="O14" s="294"/>
      <c r="P14" s="559"/>
      <c r="Q14" s="294"/>
      <c r="R14" s="294"/>
      <c r="S14" s="294">
        <f t="shared" si="1"/>
        <v>0</v>
      </c>
      <c r="T14" s="574"/>
      <c r="U14" s="8"/>
      <c r="V14" s="5"/>
    </row>
    <row r="15" spans="1:22" ht="96.75" customHeight="1" outlineLevel="1" x14ac:dyDescent="0.25">
      <c r="A15" s="547">
        <v>7</v>
      </c>
      <c r="B15" s="521" t="s">
        <v>25</v>
      </c>
      <c r="C15" s="521" t="s">
        <v>48</v>
      </c>
      <c r="D15" s="553" t="s">
        <v>49</v>
      </c>
      <c r="E15" s="555" t="s">
        <v>51</v>
      </c>
      <c r="F15" s="556">
        <v>39000000</v>
      </c>
      <c r="G15" s="556">
        <f>18026903.76+130476.4+43674.47+204502+159552.28+20280.3+101559+88268.89+153855.7+63854.08</f>
        <v>18992926.879999999</v>
      </c>
      <c r="H15" s="555" t="s">
        <v>430</v>
      </c>
      <c r="I15" s="550"/>
      <c r="J15" s="550">
        <f t="shared" si="0"/>
        <v>18992926.879999999</v>
      </c>
      <c r="K15" s="552" t="s">
        <v>304</v>
      </c>
      <c r="L15" s="553" t="s">
        <v>50</v>
      </c>
      <c r="M15" s="272" t="s">
        <v>51</v>
      </c>
      <c r="N15" s="294">
        <f>35500000-1434414.8</f>
        <v>34065585.200000003</v>
      </c>
      <c r="O15" s="294">
        <v>34065585.200000003</v>
      </c>
      <c r="P15" s="555" t="s">
        <v>367</v>
      </c>
      <c r="Q15" s="294">
        <f>3406558.5+438685248.4/386.33+457603003.3/402.99</f>
        <v>5677597.4998969967</v>
      </c>
      <c r="R15" s="294">
        <f>6927866.15+372600334/386.33+433310604.9/402.99</f>
        <v>8967566.5499026012</v>
      </c>
      <c r="S15" s="294">
        <f t="shared" si="1"/>
        <v>28387987.700103007</v>
      </c>
      <c r="T15" s="573" t="s">
        <v>52</v>
      </c>
      <c r="U15" s="8"/>
      <c r="V15" s="5"/>
    </row>
    <row r="16" spans="1:22" ht="68.25" customHeight="1" outlineLevel="1" x14ac:dyDescent="0.25">
      <c r="A16" s="547"/>
      <c r="B16" s="528"/>
      <c r="C16" s="528"/>
      <c r="D16" s="553"/>
      <c r="E16" s="555"/>
      <c r="F16" s="556"/>
      <c r="G16" s="556"/>
      <c r="H16" s="555"/>
      <c r="I16" s="550"/>
      <c r="J16" s="550"/>
      <c r="K16" s="552"/>
      <c r="L16" s="553"/>
      <c r="M16" s="276" t="s">
        <v>2</v>
      </c>
      <c r="N16" s="294"/>
      <c r="O16" s="294">
        <v>3680136115.8000002</v>
      </c>
      <c r="P16" s="555"/>
      <c r="Q16" s="294">
        <f>387003402.1+121967878.3+121967878.3</f>
        <v>630939158.70000005</v>
      </c>
      <c r="R16" s="294">
        <f>743758864.24+103594252.5+115493072.7</f>
        <v>962846189.44000006</v>
      </c>
      <c r="S16" s="294">
        <f t="shared" si="1"/>
        <v>3049196957.1000004</v>
      </c>
      <c r="T16" s="574"/>
      <c r="U16" s="8"/>
      <c r="V16" s="5"/>
    </row>
    <row r="17" spans="1:21" s="5" customFormat="1" ht="81" customHeight="1" outlineLevel="1" x14ac:dyDescent="0.25">
      <c r="A17" s="532">
        <v>8</v>
      </c>
      <c r="B17" s="521" t="s">
        <v>25</v>
      </c>
      <c r="C17" s="521" t="s">
        <v>53</v>
      </c>
      <c r="D17" s="531" t="s">
        <v>49</v>
      </c>
      <c r="E17" s="278" t="s">
        <v>51</v>
      </c>
      <c r="F17" s="34">
        <v>40000000</v>
      </c>
      <c r="G17" s="273">
        <v>100000</v>
      </c>
      <c r="H17" s="278" t="s">
        <v>430</v>
      </c>
      <c r="I17" s="273">
        <v>0</v>
      </c>
      <c r="J17" s="273">
        <f>G17-I17</f>
        <v>100000</v>
      </c>
      <c r="K17" s="541" t="s">
        <v>305</v>
      </c>
      <c r="L17" s="541" t="s">
        <v>54</v>
      </c>
      <c r="M17" s="272" t="s">
        <v>51</v>
      </c>
      <c r="N17" s="34">
        <f>40000000-2500000-1500000</f>
        <v>36000000</v>
      </c>
      <c r="O17" s="294">
        <v>25429698.080000002</v>
      </c>
      <c r="P17" s="293" t="s">
        <v>367</v>
      </c>
      <c r="Q17" s="294">
        <v>0</v>
      </c>
      <c r="R17" s="294">
        <f>4091306.45123489+373977422.6/403.57</f>
        <v>5017979.4512101114</v>
      </c>
      <c r="S17" s="294">
        <f t="shared" si="1"/>
        <v>25429698.080000002</v>
      </c>
      <c r="T17" s="573" t="s">
        <v>52</v>
      </c>
      <c r="U17" s="8"/>
    </row>
    <row r="18" spans="1:21" s="5" customFormat="1" ht="39.75" customHeight="1" outlineLevel="1" x14ac:dyDescent="0.25">
      <c r="A18" s="533"/>
      <c r="B18" s="528"/>
      <c r="C18" s="528"/>
      <c r="D18" s="530"/>
      <c r="E18" s="278"/>
      <c r="F18" s="34"/>
      <c r="G18" s="273"/>
      <c r="H18" s="278"/>
      <c r="I18" s="273"/>
      <c r="J18" s="273"/>
      <c r="K18" s="542"/>
      <c r="L18" s="542"/>
      <c r="M18" s="276" t="s">
        <v>2</v>
      </c>
      <c r="N18" s="34"/>
      <c r="O18" s="294">
        <v>1009149275.1</v>
      </c>
      <c r="P18" s="293"/>
      <c r="Q18" s="294">
        <v>563212.19999999995</v>
      </c>
      <c r="R18" s="294">
        <f>165583419.3+41681454.8</f>
        <v>207264874.10000002</v>
      </c>
      <c r="S18" s="294">
        <f t="shared" si="1"/>
        <v>1008586062.9</v>
      </c>
      <c r="T18" s="574"/>
      <c r="U18" s="8"/>
    </row>
    <row r="19" spans="1:21" s="5" customFormat="1" ht="70.5" customHeight="1" outlineLevel="1" x14ac:dyDescent="0.25">
      <c r="A19" s="532">
        <v>9</v>
      </c>
      <c r="B19" s="534" t="s">
        <v>25</v>
      </c>
      <c r="C19" s="521" t="s">
        <v>55</v>
      </c>
      <c r="D19" s="531" t="s">
        <v>49</v>
      </c>
      <c r="E19" s="555" t="s">
        <v>51</v>
      </c>
      <c r="F19" s="556">
        <v>52000000</v>
      </c>
      <c r="G19" s="550">
        <v>130000</v>
      </c>
      <c r="H19" s="555" t="s">
        <v>430</v>
      </c>
      <c r="I19" s="550"/>
      <c r="J19" s="550">
        <f>G19-I19</f>
        <v>130000</v>
      </c>
      <c r="K19" s="541" t="s">
        <v>306</v>
      </c>
      <c r="L19" s="541" t="s">
        <v>56</v>
      </c>
      <c r="M19" s="272" t="s">
        <v>51</v>
      </c>
      <c r="N19" s="34">
        <v>23194486</v>
      </c>
      <c r="O19" s="294">
        <v>14063736.780000001</v>
      </c>
      <c r="P19" s="539" t="s">
        <v>367</v>
      </c>
      <c r="Q19" s="294">
        <v>0</v>
      </c>
      <c r="R19" s="294">
        <f>1316813.632+122778919.2/386.33+153358408.7/402.99</f>
        <v>2015173.4321072174</v>
      </c>
      <c r="S19" s="294">
        <f t="shared" si="1"/>
        <v>14063736.780000001</v>
      </c>
      <c r="T19" s="573" t="s">
        <v>52</v>
      </c>
      <c r="U19" s="8"/>
    </row>
    <row r="20" spans="1:21" s="5" customFormat="1" ht="54.75" customHeight="1" outlineLevel="1" x14ac:dyDescent="0.25">
      <c r="A20" s="533"/>
      <c r="B20" s="527"/>
      <c r="C20" s="522"/>
      <c r="D20" s="529"/>
      <c r="E20" s="555"/>
      <c r="F20" s="556"/>
      <c r="G20" s="550"/>
      <c r="H20" s="555"/>
      <c r="I20" s="550"/>
      <c r="J20" s="550"/>
      <c r="K20" s="542"/>
      <c r="L20" s="542"/>
      <c r="M20" s="276" t="s">
        <v>2</v>
      </c>
      <c r="N20" s="34"/>
      <c r="O20" s="294">
        <v>1715005397.0999999</v>
      </c>
      <c r="P20" s="558"/>
      <c r="Q20" s="294">
        <v>91463799.799999997</v>
      </c>
      <c r="R20" s="294">
        <f>119885553.7+36155098.5+43333756.7</f>
        <v>199374408.89999998</v>
      </c>
      <c r="S20" s="294">
        <f t="shared" si="1"/>
        <v>1623541597.3</v>
      </c>
      <c r="T20" s="574"/>
      <c r="U20" s="8"/>
    </row>
    <row r="21" spans="1:21" s="5" customFormat="1" ht="60" customHeight="1" outlineLevel="1" x14ac:dyDescent="0.25">
      <c r="A21" s="532">
        <v>10</v>
      </c>
      <c r="B21" s="534" t="s">
        <v>57</v>
      </c>
      <c r="C21" s="522"/>
      <c r="D21" s="529"/>
      <c r="E21" s="555"/>
      <c r="F21" s="556"/>
      <c r="G21" s="550"/>
      <c r="H21" s="555"/>
      <c r="I21" s="550"/>
      <c r="J21" s="550"/>
      <c r="K21" s="541" t="s">
        <v>307</v>
      </c>
      <c r="L21" s="541" t="s">
        <v>56</v>
      </c>
      <c r="M21" s="272" t="s">
        <v>51</v>
      </c>
      <c r="N21" s="294">
        <v>16662617.070000002</v>
      </c>
      <c r="O21" s="294">
        <v>16662617.070000002</v>
      </c>
      <c r="P21" s="558"/>
      <c r="Q21" s="294"/>
      <c r="R21" s="294">
        <f>2194958+182027405/386.38+218562808/403.19</f>
        <v>3208151.702122347</v>
      </c>
      <c r="S21" s="294">
        <f t="shared" si="1"/>
        <v>16662617.070000002</v>
      </c>
      <c r="T21" s="573" t="s">
        <v>52</v>
      </c>
      <c r="U21" s="8"/>
    </row>
    <row r="22" spans="1:21" s="5" customFormat="1" ht="40.5" customHeight="1" outlineLevel="1" x14ac:dyDescent="0.25">
      <c r="A22" s="533"/>
      <c r="B22" s="527"/>
      <c r="C22" s="528"/>
      <c r="D22" s="530"/>
      <c r="E22" s="285"/>
      <c r="F22" s="288"/>
      <c r="G22" s="282"/>
      <c r="H22" s="285"/>
      <c r="I22" s="282"/>
      <c r="J22" s="282"/>
      <c r="K22" s="542"/>
      <c r="L22" s="542"/>
      <c r="M22" s="272" t="s">
        <v>2</v>
      </c>
      <c r="N22" s="9"/>
      <c r="O22" s="294">
        <v>2003005775.2</v>
      </c>
      <c r="P22" s="559"/>
      <c r="Q22" s="294"/>
      <c r="R22" s="294">
        <f>238604865.8+56631905+65163658.9</f>
        <v>360400429.69999999</v>
      </c>
      <c r="S22" s="294">
        <f t="shared" si="1"/>
        <v>2003005775.2</v>
      </c>
      <c r="T22" s="574"/>
      <c r="U22" s="8"/>
    </row>
    <row r="23" spans="1:21" s="5" customFormat="1" ht="57.75" customHeight="1" outlineLevel="1" x14ac:dyDescent="0.25">
      <c r="A23" s="532">
        <v>11</v>
      </c>
      <c r="B23" s="534" t="s">
        <v>25</v>
      </c>
      <c r="C23" s="521" t="s">
        <v>58</v>
      </c>
      <c r="D23" s="531" t="s">
        <v>59</v>
      </c>
      <c r="E23" s="563" t="s">
        <v>431</v>
      </c>
      <c r="F23" s="566">
        <v>24022000</v>
      </c>
      <c r="G23" s="560">
        <f>O23+O25</f>
        <v>18384172.012149811</v>
      </c>
      <c r="H23" s="563">
        <v>0.02</v>
      </c>
      <c r="I23" s="560">
        <v>0</v>
      </c>
      <c r="J23" s="560">
        <f>G23-I23</f>
        <v>18384172.012149811</v>
      </c>
      <c r="K23" s="541" t="s">
        <v>305</v>
      </c>
      <c r="L23" s="531" t="s">
        <v>60</v>
      </c>
      <c r="M23" s="272" t="s">
        <v>61</v>
      </c>
      <c r="N23" s="36">
        <v>13988153</v>
      </c>
      <c r="O23" s="294">
        <v>8262785.6411363389</v>
      </c>
      <c r="P23" s="539">
        <v>3.1399999999999997E-2</v>
      </c>
      <c r="Q23" s="294">
        <f>1430873.60020494+107795234.9/520.68+109739226/530.07</f>
        <v>1844929.200299131</v>
      </c>
      <c r="R23" s="294">
        <f>1219413.93+55848657.5/520.68+55104222/530.07</f>
        <v>1430631.4301233056</v>
      </c>
      <c r="S23" s="294">
        <f t="shared" si="1"/>
        <v>6417856.4408372082</v>
      </c>
      <c r="T23" s="573" t="s">
        <v>52</v>
      </c>
      <c r="U23" s="8"/>
    </row>
    <row r="24" spans="1:21" s="5" customFormat="1" ht="32.25" customHeight="1" outlineLevel="1" x14ac:dyDescent="0.25">
      <c r="A24" s="533"/>
      <c r="B24" s="527"/>
      <c r="C24" s="522"/>
      <c r="D24" s="529"/>
      <c r="E24" s="564"/>
      <c r="F24" s="567"/>
      <c r="G24" s="561"/>
      <c r="H24" s="564"/>
      <c r="I24" s="561"/>
      <c r="J24" s="561"/>
      <c r="K24" s="542"/>
      <c r="L24" s="530"/>
      <c r="M24" s="276" t="s">
        <v>2</v>
      </c>
      <c r="N24" s="37"/>
      <c r="O24" s="294">
        <v>1194787815</v>
      </c>
      <c r="P24" s="559"/>
      <c r="Q24" s="294">
        <f>209123295.3+29868621.8+29868621.8</f>
        <v>268860538.90000004</v>
      </c>
      <c r="R24" s="294">
        <f>177460224.6+15474933+14998180</f>
        <v>207933337.59999999</v>
      </c>
      <c r="S24" s="294">
        <f t="shared" si="1"/>
        <v>925927276.0999999</v>
      </c>
      <c r="T24" s="574"/>
      <c r="U24" s="8"/>
    </row>
    <row r="25" spans="1:21" s="5" customFormat="1" ht="51.75" customHeight="1" outlineLevel="1" x14ac:dyDescent="0.25">
      <c r="A25" s="532">
        <v>12</v>
      </c>
      <c r="B25" s="534" t="s">
        <v>62</v>
      </c>
      <c r="C25" s="522"/>
      <c r="D25" s="529"/>
      <c r="E25" s="564"/>
      <c r="F25" s="567"/>
      <c r="G25" s="561"/>
      <c r="H25" s="564"/>
      <c r="I25" s="561"/>
      <c r="J25" s="561"/>
      <c r="K25" s="541" t="s">
        <v>308</v>
      </c>
      <c r="L25" s="531" t="s">
        <v>60</v>
      </c>
      <c r="M25" s="272" t="s">
        <v>61</v>
      </c>
      <c r="N25" s="36">
        <v>10098535</v>
      </c>
      <c r="O25" s="294">
        <v>10121386.37101347</v>
      </c>
      <c r="P25" s="539">
        <v>3.1399999999999997E-2</v>
      </c>
      <c r="Q25" s="294">
        <f>1520990.1+136750579/520.29+138244588/530.59</f>
        <v>2044374.2018585065</v>
      </c>
      <c r="R25" s="294">
        <f>832426.027338+83294453/525+70252782/520.29+69454072/530.59</f>
        <v>1257008.0293966178</v>
      </c>
      <c r="S25" s="294">
        <f t="shared" si="1"/>
        <v>8077012.1691549635</v>
      </c>
      <c r="T25" s="573" t="s">
        <v>52</v>
      </c>
      <c r="U25" s="8"/>
    </row>
    <row r="26" spans="1:21" s="5" customFormat="1" ht="32.25" customHeight="1" outlineLevel="1" x14ac:dyDescent="0.25">
      <c r="A26" s="533"/>
      <c r="B26" s="527"/>
      <c r="C26" s="528"/>
      <c r="D26" s="530"/>
      <c r="E26" s="565"/>
      <c r="F26" s="568"/>
      <c r="G26" s="562"/>
      <c r="H26" s="565"/>
      <c r="I26" s="562"/>
      <c r="J26" s="562"/>
      <c r="K26" s="542"/>
      <c r="L26" s="530"/>
      <c r="M26" s="276" t="s">
        <v>2</v>
      </c>
      <c r="N26" s="37"/>
      <c r="O26" s="294">
        <v>794162455.89999998</v>
      </c>
      <c r="P26" s="559"/>
      <c r="Q26" s="294">
        <f>123592049.7+20623615+20310837</f>
        <v>164526501.69999999</v>
      </c>
      <c r="R26" s="294">
        <f>78534680.8+10527955+10204165</f>
        <v>99266800.799999997</v>
      </c>
      <c r="S26" s="294">
        <f t="shared" si="1"/>
        <v>629635954.20000005</v>
      </c>
      <c r="T26" s="574"/>
      <c r="U26" s="8"/>
    </row>
    <row r="27" spans="1:21" s="5" customFormat="1" ht="48" customHeight="1" outlineLevel="1" x14ac:dyDescent="0.25">
      <c r="A27" s="270">
        <v>13</v>
      </c>
      <c r="B27" s="277" t="s">
        <v>25</v>
      </c>
      <c r="C27" s="548" t="s">
        <v>63</v>
      </c>
      <c r="D27" s="553" t="s">
        <v>64</v>
      </c>
      <c r="E27" s="278" t="s">
        <v>432</v>
      </c>
      <c r="F27" s="550">
        <v>15000000</v>
      </c>
      <c r="G27" s="550">
        <v>15000000</v>
      </c>
      <c r="H27" s="551">
        <v>1.4500000000000001E-2</v>
      </c>
      <c r="I27" s="550">
        <v>2437500</v>
      </c>
      <c r="J27" s="550">
        <f>G27-I27</f>
        <v>12562500</v>
      </c>
      <c r="K27" s="275" t="s">
        <v>309</v>
      </c>
      <c r="L27" s="276" t="s">
        <v>65</v>
      </c>
      <c r="M27" s="272" t="s">
        <v>51</v>
      </c>
      <c r="N27" s="294">
        <v>19600000</v>
      </c>
      <c r="O27" s="294">
        <v>19419334.870000001</v>
      </c>
      <c r="P27" s="295">
        <v>5.0000000000000001E-3</v>
      </c>
      <c r="Q27" s="294">
        <f>9716960.66852489+189584407.5/488.5+172026989.7/443.26+153375144/395.2+150045288.9/386.62+156421689.8/403.05</f>
        <v>11657435.668648943</v>
      </c>
      <c r="R27" s="294">
        <f>1129921.93024286+16077756.3/488.5+14096288.6/443.26+12233850.7/395.2+11546870.2/386.62+11574265.9/403.05</f>
        <v>1284174.8301751786</v>
      </c>
      <c r="S27" s="294">
        <f t="shared" si="1"/>
        <v>7761899.2013510577</v>
      </c>
      <c r="T27" s="204" t="s">
        <v>52</v>
      </c>
      <c r="U27" s="8"/>
    </row>
    <row r="28" spans="1:21" s="5" customFormat="1" ht="60" customHeight="1" outlineLevel="1" x14ac:dyDescent="0.25">
      <c r="A28" s="270">
        <v>14</v>
      </c>
      <c r="B28" s="277" t="s">
        <v>62</v>
      </c>
      <c r="C28" s="548"/>
      <c r="D28" s="553"/>
      <c r="E28" s="278" t="s">
        <v>432</v>
      </c>
      <c r="F28" s="550"/>
      <c r="G28" s="550"/>
      <c r="H28" s="551"/>
      <c r="I28" s="550"/>
      <c r="J28" s="550"/>
      <c r="K28" s="275" t="s">
        <v>310</v>
      </c>
      <c r="L28" s="276" t="s">
        <v>66</v>
      </c>
      <c r="M28" s="272" t="s">
        <v>51</v>
      </c>
      <c r="N28" s="294">
        <v>297276.53999999998</v>
      </c>
      <c r="O28" s="294">
        <v>297276.53999999998</v>
      </c>
      <c r="P28" s="293" t="s">
        <v>67</v>
      </c>
      <c r="Q28" s="294">
        <f>257638.543537781+4361667/440.15+3916234/395.2+3837157/387.22+3994520/403.1</f>
        <v>297276.54625526333</v>
      </c>
      <c r="R28" s="294">
        <f>229541.53251276+1912186/489.99+1556591/440.15+1259898/395.2+1094284/387.22+991707/403.1</f>
        <v>245454.73643449965</v>
      </c>
      <c r="S28" s="294">
        <f t="shared" si="1"/>
        <v>-6.255263346247375E-3</v>
      </c>
      <c r="T28" s="204" t="s">
        <v>52</v>
      </c>
      <c r="U28" s="8"/>
    </row>
    <row r="29" spans="1:21" s="5" customFormat="1" ht="51" customHeight="1" outlineLevel="1" x14ac:dyDescent="0.25">
      <c r="A29" s="270">
        <v>15</v>
      </c>
      <c r="B29" s="277" t="s">
        <v>62</v>
      </c>
      <c r="C29" s="554" t="s">
        <v>68</v>
      </c>
      <c r="D29" s="553" t="s">
        <v>69</v>
      </c>
      <c r="E29" s="555" t="s">
        <v>71</v>
      </c>
      <c r="F29" s="556">
        <f>5075000000+324000000</f>
        <v>5399000000</v>
      </c>
      <c r="G29" s="550">
        <f>5062807492+305504477</f>
        <v>5368311969</v>
      </c>
      <c r="H29" s="557" t="s">
        <v>433</v>
      </c>
      <c r="I29" s="550">
        <f>1729684492+71162477</f>
        <v>1800846969</v>
      </c>
      <c r="J29" s="550">
        <f>G29-I29</f>
        <v>3567465000</v>
      </c>
      <c r="K29" s="275" t="s">
        <v>311</v>
      </c>
      <c r="L29" s="276" t="s">
        <v>70</v>
      </c>
      <c r="M29" s="276" t="s">
        <v>71</v>
      </c>
      <c r="N29" s="294">
        <v>1571940173.3299999</v>
      </c>
      <c r="O29" s="294">
        <v>1598519063</v>
      </c>
      <c r="P29" s="295">
        <v>1.7999999999999999E-2</v>
      </c>
      <c r="Q29" s="294">
        <f>1030178646.5+123394332/3.026+109815247/2.693+110426917/2.708</f>
        <v>1152512749.7454691</v>
      </c>
      <c r="R29" s="294">
        <f>226837831.925937+13873556/3.026+11211247/2.693+10505503/2.708</f>
        <v>239465155.16541752</v>
      </c>
      <c r="S29" s="294">
        <f t="shared" si="1"/>
        <v>446006313.25453091</v>
      </c>
      <c r="T29" s="204" t="s">
        <v>52</v>
      </c>
      <c r="U29" s="8"/>
    </row>
    <row r="30" spans="1:21" s="5" customFormat="1" ht="41.25" customHeight="1" outlineLevel="1" x14ac:dyDescent="0.25">
      <c r="A30" s="270">
        <v>16</v>
      </c>
      <c r="B30" s="271" t="s">
        <v>72</v>
      </c>
      <c r="C30" s="554"/>
      <c r="D30" s="553"/>
      <c r="E30" s="555"/>
      <c r="F30" s="556"/>
      <c r="G30" s="550"/>
      <c r="H30" s="557"/>
      <c r="I30" s="550"/>
      <c r="J30" s="550"/>
      <c r="K30" s="275" t="s">
        <v>312</v>
      </c>
      <c r="L30" s="276" t="s">
        <v>70</v>
      </c>
      <c r="M30" s="276" t="s">
        <v>71</v>
      </c>
      <c r="N30" s="294">
        <v>3796371795.6700001</v>
      </c>
      <c r="O30" s="294">
        <v>3861444249</v>
      </c>
      <c r="P30" s="295">
        <v>1.7999999999999999E-2</v>
      </c>
      <c r="Q30" s="294">
        <f>2513837447.56+291897058.6/3.026+259774877.3/2.693+261800600/2.714</f>
        <v>2803226467.7953391</v>
      </c>
      <c r="R30" s="294">
        <f>553224853.256799+32762341/3.026+26475306.9/2.693+24863667/2.714</f>
        <v>583044220.17120647</v>
      </c>
      <c r="S30" s="294">
        <f t="shared" si="1"/>
        <v>1058217781.2046609</v>
      </c>
      <c r="T30" s="204" t="s">
        <v>52</v>
      </c>
      <c r="U30" s="8"/>
    </row>
    <row r="31" spans="1:21" s="5" customFormat="1" ht="33.75" customHeight="1" outlineLevel="1" x14ac:dyDescent="0.25">
      <c r="A31" s="547">
        <v>17</v>
      </c>
      <c r="B31" s="554" t="s">
        <v>73</v>
      </c>
      <c r="C31" s="548" t="s">
        <v>74</v>
      </c>
      <c r="D31" s="553" t="s">
        <v>64</v>
      </c>
      <c r="E31" s="555" t="s">
        <v>432</v>
      </c>
      <c r="F31" s="550">
        <v>10000000</v>
      </c>
      <c r="G31" s="550">
        <v>9972457.2400000002</v>
      </c>
      <c r="H31" s="551">
        <v>1.4500000000000001E-2</v>
      </c>
      <c r="I31" s="550">
        <v>0</v>
      </c>
      <c r="J31" s="550">
        <f>G31-I31</f>
        <v>9972457.2400000002</v>
      </c>
      <c r="K31" s="552" t="s">
        <v>313</v>
      </c>
      <c r="L31" s="553" t="s">
        <v>75</v>
      </c>
      <c r="M31" s="272" t="s">
        <v>51</v>
      </c>
      <c r="N31" s="294">
        <v>4846628.13</v>
      </c>
      <c r="O31" s="294">
        <v>4737831.22</v>
      </c>
      <c r="P31" s="293">
        <v>7.4999999999999997E-3</v>
      </c>
      <c r="Q31" s="294">
        <f>616176.07+18729201/386.44+19508050/402.51</f>
        <v>713108.07074119058</v>
      </c>
      <c r="R31" s="294">
        <f>353441.51+5923430/386.44+6198654/402.51</f>
        <v>384169.71101438778</v>
      </c>
      <c r="S31" s="294">
        <f t="shared" si="1"/>
        <v>4024723.1492588092</v>
      </c>
      <c r="T31" s="204" t="s">
        <v>76</v>
      </c>
      <c r="U31" s="8"/>
    </row>
    <row r="32" spans="1:21" s="5" customFormat="1" ht="41.25" customHeight="1" outlineLevel="1" x14ac:dyDescent="0.25">
      <c r="A32" s="547"/>
      <c r="B32" s="554"/>
      <c r="C32" s="548"/>
      <c r="D32" s="553"/>
      <c r="E32" s="555"/>
      <c r="F32" s="550"/>
      <c r="G32" s="550"/>
      <c r="H32" s="551"/>
      <c r="I32" s="550"/>
      <c r="J32" s="550"/>
      <c r="K32" s="552"/>
      <c r="L32" s="553"/>
      <c r="M32" s="276" t="s">
        <v>2</v>
      </c>
      <c r="N32" s="294">
        <v>1740568345.9000001</v>
      </c>
      <c r="O32" s="294">
        <v>1740568345.9000001</v>
      </c>
      <c r="P32" s="293">
        <v>7.4999999999999997E-3</v>
      </c>
      <c r="Q32" s="294">
        <f>247100359+17402579+17402579</f>
        <v>281905517</v>
      </c>
      <c r="R32" s="294">
        <f>128165336.87+5554115.8+5580740.4</f>
        <v>139300193.06999999</v>
      </c>
      <c r="S32" s="294">
        <f t="shared" si="1"/>
        <v>1458662828.9000001</v>
      </c>
      <c r="T32" s="204" t="s">
        <v>76</v>
      </c>
      <c r="U32" s="8"/>
    </row>
    <row r="33" spans="1:22" ht="87" customHeight="1" outlineLevel="1" x14ac:dyDescent="0.25">
      <c r="A33" s="270">
        <v>18</v>
      </c>
      <c r="B33" s="277" t="s">
        <v>77</v>
      </c>
      <c r="C33" s="271" t="s">
        <v>78</v>
      </c>
      <c r="D33" s="276" t="s">
        <v>27</v>
      </c>
      <c r="E33" s="278" t="s">
        <v>434</v>
      </c>
      <c r="F33" s="273">
        <f>12782297+5112919</f>
        <v>17895216</v>
      </c>
      <c r="G33" s="273">
        <f>12782297+5112919</f>
        <v>17895216</v>
      </c>
      <c r="H33" s="278"/>
      <c r="I33" s="34">
        <f>2687350+357904</f>
        <v>3045254</v>
      </c>
      <c r="J33" s="273">
        <f>G33-I33</f>
        <v>14849962</v>
      </c>
      <c r="K33" s="275" t="s">
        <v>314</v>
      </c>
      <c r="L33" s="275" t="s">
        <v>79</v>
      </c>
      <c r="M33" s="272" t="s">
        <v>29</v>
      </c>
      <c r="N33" s="39">
        <v>17895215.550000001</v>
      </c>
      <c r="O33" s="294">
        <v>17895215.550000001</v>
      </c>
      <c r="P33" s="293">
        <v>7.4999999999999997E-3</v>
      </c>
      <c r="Q33" s="294">
        <f>7748628.1+130294835.3/415.04+137735052.2/438.74</f>
        <v>8376494.5000054715</v>
      </c>
      <c r="R33" s="294">
        <f>2568161.28+12471869/415.04+3320320/414.34+16171473.8/438.74</f>
        <v>2643083.495521571</v>
      </c>
      <c r="S33" s="294">
        <f t="shared" si="1"/>
        <v>9518721.0499945283</v>
      </c>
      <c r="T33" s="204" t="s">
        <v>52</v>
      </c>
      <c r="U33" s="8"/>
      <c r="V33" s="5"/>
    </row>
    <row r="34" spans="1:22" ht="40.5" customHeight="1" outlineLevel="1" x14ac:dyDescent="0.25">
      <c r="A34" s="547">
        <v>19</v>
      </c>
      <c r="B34" s="534" t="s">
        <v>80</v>
      </c>
      <c r="C34" s="548" t="s">
        <v>81</v>
      </c>
      <c r="D34" s="548" t="s">
        <v>277</v>
      </c>
      <c r="E34" s="549" t="s">
        <v>29</v>
      </c>
      <c r="F34" s="40">
        <v>14500000</v>
      </c>
      <c r="G34" s="40"/>
      <c r="H34" s="271"/>
      <c r="I34" s="41"/>
      <c r="J34" s="40">
        <f>G34-I34</f>
        <v>0</v>
      </c>
      <c r="K34" s="548" t="s">
        <v>315</v>
      </c>
      <c r="L34" s="271" t="s">
        <v>82</v>
      </c>
      <c r="M34" s="272" t="s">
        <v>29</v>
      </c>
      <c r="N34" s="42">
        <v>22000000</v>
      </c>
      <c r="O34" s="294">
        <v>21247150.510000002</v>
      </c>
      <c r="P34" s="274" t="s">
        <v>83</v>
      </c>
      <c r="Q34" s="294">
        <f>1047000+1047000+1047000+1047000+1047000+1047000+1047000</f>
        <v>7329000</v>
      </c>
      <c r="R34" s="294">
        <v>2375876.2999999998</v>
      </c>
      <c r="S34" s="294">
        <f>N34-Q34</f>
        <v>14671000</v>
      </c>
      <c r="T34" s="573" t="s">
        <v>439</v>
      </c>
      <c r="U34" s="8"/>
      <c r="V34" s="5"/>
    </row>
    <row r="35" spans="1:22" ht="31.5" customHeight="1" outlineLevel="1" x14ac:dyDescent="0.25">
      <c r="A35" s="547"/>
      <c r="B35" s="526"/>
      <c r="C35" s="548"/>
      <c r="D35" s="548"/>
      <c r="E35" s="549"/>
      <c r="F35" s="40">
        <v>14500000</v>
      </c>
      <c r="G35" s="40">
        <v>697853.84</v>
      </c>
      <c r="H35" s="271"/>
      <c r="I35" s="41"/>
      <c r="J35" s="40">
        <f>G35-I35</f>
        <v>697853.84</v>
      </c>
      <c r="K35" s="548"/>
      <c r="L35" s="271" t="s">
        <v>85</v>
      </c>
      <c r="M35" s="272" t="s">
        <v>29</v>
      </c>
      <c r="N35" s="42">
        <v>14500000</v>
      </c>
      <c r="O35" s="294">
        <v>14491281.059999999</v>
      </c>
      <c r="P35" s="274" t="s">
        <v>30</v>
      </c>
      <c r="Q35" s="294">
        <f>241000+241000+241000+241000+241000+241000+241000</f>
        <v>1687000</v>
      </c>
      <c r="R35" s="294">
        <v>628643.69999999995</v>
      </c>
      <c r="S35" s="294">
        <f>N35-Q35</f>
        <v>12813000</v>
      </c>
      <c r="T35" s="576"/>
      <c r="U35" s="8"/>
      <c r="V35" s="5"/>
    </row>
    <row r="36" spans="1:22" ht="42.75" customHeight="1" outlineLevel="1" x14ac:dyDescent="0.25">
      <c r="A36" s="547"/>
      <c r="B36" s="527"/>
      <c r="C36" s="548"/>
      <c r="D36" s="548"/>
      <c r="E36" s="549"/>
      <c r="F36" s="40">
        <v>22000000</v>
      </c>
      <c r="G36" s="40"/>
      <c r="H36" s="271"/>
      <c r="I36" s="41"/>
      <c r="J36" s="40">
        <f>G36-I36</f>
        <v>0</v>
      </c>
      <c r="K36" s="548"/>
      <c r="L36" s="271" t="s">
        <v>86</v>
      </c>
      <c r="M36" s="272" t="s">
        <v>29</v>
      </c>
      <c r="N36" s="42">
        <v>14500000</v>
      </c>
      <c r="O36" s="294">
        <v>14500000.000000002</v>
      </c>
      <c r="P36" s="274" t="s">
        <v>87</v>
      </c>
      <c r="Q36" s="294">
        <f>2519999.6+630000+630000+630000</f>
        <v>4409999.5999999996</v>
      </c>
      <c r="R36" s="294">
        <v>2336020</v>
      </c>
      <c r="S36" s="294">
        <f>N36-Q36</f>
        <v>10090000.4</v>
      </c>
      <c r="T36" s="574"/>
      <c r="U36" s="8"/>
      <c r="V36" s="5"/>
    </row>
    <row r="37" spans="1:22" ht="94.5" customHeight="1" outlineLevel="1" x14ac:dyDescent="0.25">
      <c r="A37" s="270">
        <v>20</v>
      </c>
      <c r="B37" s="271" t="s">
        <v>88</v>
      </c>
      <c r="C37" s="277" t="s">
        <v>89</v>
      </c>
      <c r="D37" s="276" t="s">
        <v>69</v>
      </c>
      <c r="E37" s="278" t="s">
        <v>71</v>
      </c>
      <c r="F37" s="279">
        <v>26409000000</v>
      </c>
      <c r="G37" s="273">
        <v>26399286331</v>
      </c>
      <c r="H37" s="274">
        <v>7.4999999999999997E-3</v>
      </c>
      <c r="I37" s="273">
        <v>432846331</v>
      </c>
      <c r="J37" s="40">
        <f>G37-I37</f>
        <v>25966440000</v>
      </c>
      <c r="K37" s="275" t="s">
        <v>316</v>
      </c>
      <c r="L37" s="276" t="s">
        <v>90</v>
      </c>
      <c r="M37" s="276" t="s">
        <v>71</v>
      </c>
      <c r="N37" s="279">
        <v>26409000000</v>
      </c>
      <c r="O37" s="294">
        <v>26399286331</v>
      </c>
      <c r="P37" s="293">
        <v>7.4999999999999997E-3</v>
      </c>
      <c r="Q37" s="294">
        <f>7357230331.16835+1131704010/2.615+1153775484/2.666</f>
        <v>8222778331.1683502</v>
      </c>
      <c r="R37" s="294">
        <f>2607354309.06995+188428717.2/2.615+185536580.8/2.666</f>
        <v>2749004796.0961809</v>
      </c>
      <c r="S37" s="273">
        <f t="shared" ref="S37:S45" si="2">O37-Q37</f>
        <v>18176507999.83165</v>
      </c>
      <c r="T37" s="204" t="s">
        <v>91</v>
      </c>
      <c r="U37" s="8"/>
      <c r="V37" s="5"/>
    </row>
    <row r="38" spans="1:22" ht="51.75" customHeight="1" outlineLevel="1" x14ac:dyDescent="0.25">
      <c r="A38" s="270">
        <v>21</v>
      </c>
      <c r="B38" s="277" t="s">
        <v>25</v>
      </c>
      <c r="C38" s="271" t="s">
        <v>92</v>
      </c>
      <c r="D38" s="271" t="s">
        <v>93</v>
      </c>
      <c r="E38" s="278"/>
      <c r="F38" s="278"/>
      <c r="G38" s="278"/>
      <c r="H38" s="278"/>
      <c r="I38" s="278"/>
      <c r="J38" s="278"/>
      <c r="K38" s="275" t="s">
        <v>317</v>
      </c>
      <c r="L38" s="276" t="s">
        <v>94</v>
      </c>
      <c r="M38" s="272" t="s">
        <v>51</v>
      </c>
      <c r="N38" s="294">
        <v>8988290</v>
      </c>
      <c r="O38" s="294">
        <v>8988290</v>
      </c>
      <c r="P38" s="295">
        <v>5.0000000000000001E-3</v>
      </c>
      <c r="Q38" s="294">
        <f>4199999.97+600000+600000+289644000/482.74+290820000/484.7+286458000/477.43+600000+600000+231939215.4/394.26</f>
        <v>8988289.9699999988</v>
      </c>
      <c r="R38" s="294">
        <f>838542.942447016+522591.6/394.26</f>
        <v>839868.44237092405</v>
      </c>
      <c r="S38" s="273">
        <f t="shared" si="2"/>
        <v>3.0000001192092896E-2</v>
      </c>
      <c r="T38" s="204" t="s">
        <v>76</v>
      </c>
      <c r="U38" s="8"/>
      <c r="V38" s="5"/>
    </row>
    <row r="39" spans="1:22" ht="63.75" customHeight="1" outlineLevel="1" x14ac:dyDescent="0.25">
      <c r="A39" s="270">
        <v>22</v>
      </c>
      <c r="B39" s="277" t="s">
        <v>95</v>
      </c>
      <c r="C39" s="271" t="s">
        <v>92</v>
      </c>
      <c r="D39" s="271" t="s">
        <v>96</v>
      </c>
      <c r="E39" s="278"/>
      <c r="F39" s="278"/>
      <c r="G39" s="278"/>
      <c r="H39" s="278"/>
      <c r="I39" s="278"/>
      <c r="J39" s="278"/>
      <c r="K39" s="43" t="s">
        <v>318</v>
      </c>
      <c r="L39" s="294" t="s">
        <v>97</v>
      </c>
      <c r="M39" s="40" t="s">
        <v>2</v>
      </c>
      <c r="N39" s="294">
        <v>1757100000</v>
      </c>
      <c r="O39" s="294">
        <v>1757100000</v>
      </c>
      <c r="P39" s="293">
        <v>7.4999999999999997E-3</v>
      </c>
      <c r="Q39" s="294">
        <f>439275000+62753571.5+62753571.5+62753571.3+62753571.4+62753571.4+62753571.4+62753571.5+62753571.5+62753571.5</f>
        <v>1004057142.9999999</v>
      </c>
      <c r="R39" s="294">
        <f>303383430.5+3313904.4+3032802.7</f>
        <v>309730137.59999996</v>
      </c>
      <c r="S39" s="273">
        <f t="shared" si="2"/>
        <v>753042857.00000012</v>
      </c>
      <c r="T39" s="204" t="s">
        <v>76</v>
      </c>
      <c r="U39" s="8"/>
      <c r="V39" s="5"/>
    </row>
    <row r="40" spans="1:22" ht="63.75" customHeight="1" outlineLevel="1" x14ac:dyDescent="0.25">
      <c r="A40" s="260">
        <v>23</v>
      </c>
      <c r="B40" s="277" t="s">
        <v>95</v>
      </c>
      <c r="C40" s="251" t="s">
        <v>98</v>
      </c>
      <c r="D40" s="271" t="s">
        <v>463</v>
      </c>
      <c r="E40" s="278"/>
      <c r="F40" s="278"/>
      <c r="G40" s="278"/>
      <c r="H40" s="278"/>
      <c r="I40" s="278"/>
      <c r="J40" s="278"/>
      <c r="K40" s="43" t="s">
        <v>319</v>
      </c>
      <c r="L40" s="294" t="s">
        <v>99</v>
      </c>
      <c r="M40" s="40" t="s">
        <v>2</v>
      </c>
      <c r="N40" s="294">
        <v>18700000000</v>
      </c>
      <c r="O40" s="294">
        <v>18700000000</v>
      </c>
      <c r="P40" s="264">
        <v>7.4999999999999997E-2</v>
      </c>
      <c r="Q40" s="294">
        <f>890476190.5+890476190.5+890476190.5+890476190.5</f>
        <v>3561904762</v>
      </c>
      <c r="R40" s="294">
        <f>1333335616.4+703171232.9+699328767.1+670052837.5+632909002+602718199.6</f>
        <v>4641515655.5</v>
      </c>
      <c r="S40" s="273">
        <f t="shared" si="2"/>
        <v>15138095238</v>
      </c>
      <c r="T40" s="204" t="s">
        <v>76</v>
      </c>
      <c r="U40" s="8"/>
      <c r="V40" s="5"/>
    </row>
    <row r="41" spans="1:22" ht="63.75" customHeight="1" outlineLevel="1" x14ac:dyDescent="0.25">
      <c r="A41" s="260">
        <v>24</v>
      </c>
      <c r="B41" s="277" t="s">
        <v>95</v>
      </c>
      <c r="C41" s="251" t="s">
        <v>278</v>
      </c>
      <c r="D41" s="271" t="s">
        <v>463</v>
      </c>
      <c r="E41" s="278"/>
      <c r="F41" s="278"/>
      <c r="G41" s="278"/>
      <c r="H41" s="278"/>
      <c r="I41" s="278"/>
      <c r="J41" s="278"/>
      <c r="K41" s="44"/>
      <c r="L41" s="294" t="s">
        <v>265</v>
      </c>
      <c r="M41" s="40" t="s">
        <v>2</v>
      </c>
      <c r="N41" s="294">
        <v>25000000000</v>
      </c>
      <c r="O41" s="294">
        <v>25000000000</v>
      </c>
      <c r="P41" s="264">
        <v>0.09</v>
      </c>
      <c r="Q41" s="294">
        <f>1190476190.4+1190476190.5</f>
        <v>2380952380.9000001</v>
      </c>
      <c r="R41" s="294">
        <f>1171232876.7+1121917808.3+1128082191.8+1121917808.2+1074363992.2</f>
        <v>5617514677.1999998</v>
      </c>
      <c r="S41" s="273">
        <f t="shared" si="2"/>
        <v>22619047619.099998</v>
      </c>
      <c r="T41" s="204" t="s">
        <v>76</v>
      </c>
      <c r="U41" s="8"/>
      <c r="V41" s="5"/>
    </row>
    <row r="42" spans="1:22" ht="57.75" customHeight="1" outlineLevel="1" x14ac:dyDescent="0.25">
      <c r="A42" s="532">
        <v>25</v>
      </c>
      <c r="B42" s="534" t="s">
        <v>95</v>
      </c>
      <c r="C42" s="521" t="s">
        <v>100</v>
      </c>
      <c r="D42" s="276" t="s">
        <v>472</v>
      </c>
      <c r="E42" s="272" t="s">
        <v>51</v>
      </c>
      <c r="F42" s="273">
        <v>270000000</v>
      </c>
      <c r="G42" s="46">
        <v>7766059.0499999998</v>
      </c>
      <c r="H42" s="278"/>
      <c r="I42" s="278"/>
      <c r="J42" s="278"/>
      <c r="K42" s="541" t="s">
        <v>321</v>
      </c>
      <c r="L42" s="543" t="s">
        <v>102</v>
      </c>
      <c r="M42" s="272" t="s">
        <v>51</v>
      </c>
      <c r="N42" s="36">
        <v>270000000</v>
      </c>
      <c r="O42" s="294">
        <v>173574580.28</v>
      </c>
      <c r="P42" s="545">
        <v>0.03</v>
      </c>
      <c r="Q42" s="294">
        <f>51199088.7002228+3370009369.8/394.93+3295429324.9/386.19+3461143748.2/405.61</f>
        <v>76798633.100286514</v>
      </c>
      <c r="R42" s="294">
        <f>20309911.275649+723428666.7/394.93+646453366.1/386.19+636850451.3/405.61</f>
        <v>25385731.975636914</v>
      </c>
      <c r="S42" s="273">
        <f t="shared" si="2"/>
        <v>96775947.179713488</v>
      </c>
      <c r="T42" s="573" t="s">
        <v>84</v>
      </c>
      <c r="U42" s="8"/>
      <c r="V42" s="5"/>
    </row>
    <row r="43" spans="1:22" ht="57.75" customHeight="1" outlineLevel="1" x14ac:dyDescent="0.25">
      <c r="A43" s="533"/>
      <c r="B43" s="527"/>
      <c r="C43" s="528"/>
      <c r="D43" s="271" t="s">
        <v>463</v>
      </c>
      <c r="E43" s="47"/>
      <c r="F43" s="282"/>
      <c r="G43" s="48"/>
      <c r="H43" s="285"/>
      <c r="I43" s="285"/>
      <c r="J43" s="285"/>
      <c r="K43" s="542"/>
      <c r="L43" s="544"/>
      <c r="M43" s="40" t="s">
        <v>2</v>
      </c>
      <c r="N43" s="37">
        <v>1265847400</v>
      </c>
      <c r="O43" s="294">
        <f>9509488626+108542329</f>
        <v>9618030955</v>
      </c>
      <c r="P43" s="546"/>
      <c r="Q43" s="294">
        <f>2858334735.47632+482835444.3+482835444.2+482835444.3</f>
        <v>4306841068.2763195</v>
      </c>
      <c r="R43" s="294">
        <f>1045375895.11175+103648675.3+94716219.7+88841721.7</f>
        <v>1332582511.8117502</v>
      </c>
      <c r="S43" s="273">
        <f t="shared" si="2"/>
        <v>5311189886.7236805</v>
      </c>
      <c r="T43" s="574"/>
      <c r="U43" s="8"/>
      <c r="V43" s="5"/>
    </row>
    <row r="44" spans="1:22" ht="57.75" customHeight="1" outlineLevel="1" x14ac:dyDescent="0.25">
      <c r="A44" s="270">
        <v>26</v>
      </c>
      <c r="B44" s="277" t="s">
        <v>95</v>
      </c>
      <c r="C44" s="271" t="s">
        <v>103</v>
      </c>
      <c r="D44" s="553" t="s">
        <v>49</v>
      </c>
      <c r="E44" s="272"/>
      <c r="F44" s="273"/>
      <c r="G44" s="46"/>
      <c r="H44" s="278"/>
      <c r="I44" s="278"/>
      <c r="J44" s="278"/>
      <c r="K44" s="266" t="s">
        <v>322</v>
      </c>
      <c r="L44" s="268" t="s">
        <v>104</v>
      </c>
      <c r="M44" s="31" t="s">
        <v>51</v>
      </c>
      <c r="N44" s="36">
        <v>8907500</v>
      </c>
      <c r="O44" s="294">
        <v>8907384.7100000009</v>
      </c>
      <c r="P44" s="539" t="s">
        <v>368</v>
      </c>
      <c r="Q44" s="294"/>
      <c r="R44" s="294">
        <f>1241236.45+96159781.6/386.38+118034920.8/403.19</f>
        <v>1782862.6500977012</v>
      </c>
      <c r="S44" s="283">
        <f t="shared" si="2"/>
        <v>8907384.7100000009</v>
      </c>
      <c r="T44" s="291" t="s">
        <v>105</v>
      </c>
      <c r="U44" s="8"/>
      <c r="V44" s="5"/>
    </row>
    <row r="45" spans="1:22" ht="78.75" customHeight="1" outlineLevel="1" thickBot="1" x14ac:dyDescent="0.3">
      <c r="A45" s="270">
        <v>27</v>
      </c>
      <c r="B45" s="256" t="s">
        <v>88</v>
      </c>
      <c r="C45" s="252" t="s">
        <v>103</v>
      </c>
      <c r="D45" s="553"/>
      <c r="E45" s="49"/>
      <c r="F45" s="283"/>
      <c r="G45" s="50"/>
      <c r="H45" s="286"/>
      <c r="I45" s="286"/>
      <c r="J45" s="286"/>
      <c r="K45" s="266" t="s">
        <v>323</v>
      </c>
      <c r="L45" s="51" t="s">
        <v>104</v>
      </c>
      <c r="M45" s="49" t="s">
        <v>51</v>
      </c>
      <c r="N45" s="52">
        <v>21092500</v>
      </c>
      <c r="O45" s="294">
        <v>21092210.790000003</v>
      </c>
      <c r="P45" s="540"/>
      <c r="Q45" s="294"/>
      <c r="R45" s="294">
        <f>3081286.01+227668040/386.38+279535083/403.19</f>
        <v>4363828.0823399555</v>
      </c>
      <c r="S45" s="282">
        <f t="shared" si="2"/>
        <v>21092210.790000003</v>
      </c>
      <c r="T45" s="291" t="s">
        <v>106</v>
      </c>
      <c r="U45" s="8"/>
      <c r="V45" s="5"/>
    </row>
    <row r="46" spans="1:22" s="9" customFormat="1" ht="15" customHeight="1" x14ac:dyDescent="0.25">
      <c r="A46" s="496" t="s">
        <v>115</v>
      </c>
      <c r="B46" s="497"/>
      <c r="C46" s="497"/>
      <c r="D46" s="519" t="s">
        <v>29</v>
      </c>
      <c r="E46" s="519"/>
      <c r="F46" s="519"/>
      <c r="G46" s="519"/>
      <c r="H46" s="519"/>
      <c r="I46" s="519"/>
      <c r="J46" s="519"/>
      <c r="K46" s="519"/>
      <c r="L46" s="519"/>
      <c r="M46" s="53"/>
      <c r="N46" s="10">
        <f>SUMIF($M$5:$M$45,D46,$N$5:$N$45)</f>
        <v>275755742.28000003</v>
      </c>
      <c r="O46" s="10">
        <f>SUMIF($M$5:$M$45,D46,$O$5:$O$45)</f>
        <v>97929055.540000007</v>
      </c>
      <c r="P46" s="10"/>
      <c r="Q46" s="10">
        <f>SUMIF($M$5:$M$45,D46,$Q$5:$Q$45)</f>
        <v>37018590.7398488</v>
      </c>
      <c r="R46" s="10">
        <f>SUMIF($M$5:$M$45,D46,$R$5:$R$45)</f>
        <v>16520985.737643212</v>
      </c>
      <c r="S46" s="10">
        <f>SUMIF($M$5:$M$45,D46,$S$5:$S$45)</f>
        <v>61672033.230151191</v>
      </c>
      <c r="T46" s="317"/>
      <c r="U46" s="8"/>
      <c r="V46" s="5"/>
    </row>
    <row r="47" spans="1:22" s="9" customFormat="1" ht="15" customHeight="1" x14ac:dyDescent="0.25">
      <c r="A47" s="485"/>
      <c r="B47" s="486"/>
      <c r="C47" s="486"/>
      <c r="D47" s="503" t="s">
        <v>2</v>
      </c>
      <c r="E47" s="503"/>
      <c r="F47" s="503"/>
      <c r="G47" s="503"/>
      <c r="H47" s="503"/>
      <c r="I47" s="503"/>
      <c r="J47" s="503"/>
      <c r="K47" s="503"/>
      <c r="L47" s="503"/>
      <c r="M47" s="54"/>
      <c r="N47" s="11">
        <f>SUMIF($M$5:$M$45,D47,$N$5:$N$45)</f>
        <v>48463515745.900002</v>
      </c>
      <c r="O47" s="11">
        <f>SUMIF($M$5:$M$45,D47,$O$5:$O$45)</f>
        <v>67456027580</v>
      </c>
      <c r="P47" s="11"/>
      <c r="Q47" s="11">
        <f>SUMIF($M$5:$M$45,D47,$Q$5:$Q$45)</f>
        <v>12692014082.47632</v>
      </c>
      <c r="R47" s="11">
        <f>SUMIF($M$5:$M$45,D47,$R$5:$R$45)</f>
        <v>14090249426.22175</v>
      </c>
      <c r="S47" s="11">
        <f>SUMIF($M$5:$M$45,D47,$S$5:$S$45)</f>
        <v>54764013497.523682</v>
      </c>
      <c r="T47" s="318"/>
      <c r="U47" s="8"/>
      <c r="V47" s="5"/>
    </row>
    <row r="48" spans="1:22" s="9" customFormat="1" ht="15" customHeight="1" x14ac:dyDescent="0.25">
      <c r="A48" s="485"/>
      <c r="B48" s="486"/>
      <c r="C48" s="486"/>
      <c r="D48" s="503" t="s">
        <v>51</v>
      </c>
      <c r="E48" s="503"/>
      <c r="F48" s="503"/>
      <c r="G48" s="503"/>
      <c r="H48" s="503"/>
      <c r="I48" s="503"/>
      <c r="J48" s="503"/>
      <c r="K48" s="503"/>
      <c r="L48" s="503"/>
      <c r="M48" s="54"/>
      <c r="N48" s="11">
        <f>SUMIF($M$5:$M$45,D48,$N$5:$N$45)</f>
        <v>443654882.94000006</v>
      </c>
      <c r="O48" s="11">
        <f>SUMIF($M$5:$M$45,D48,$O$5:$O$45)</f>
        <v>327238545.54000002</v>
      </c>
      <c r="P48" s="11"/>
      <c r="Q48" s="11">
        <f>SUMIF($M$5:$M$45,D48,$Q$5:$Q$45)</f>
        <v>104132340.85582891</v>
      </c>
      <c r="R48" s="11">
        <f>SUMIF($M$5:$M$45,D48,$R$5:$R$45)</f>
        <v>53494961.563411839</v>
      </c>
      <c r="S48" s="11">
        <f>SUMIF($M$5:$M$45,D48,$S$5:$S$45)</f>
        <v>223106204.68417111</v>
      </c>
      <c r="T48" s="318"/>
      <c r="U48" s="8"/>
      <c r="V48" s="5"/>
    </row>
    <row r="49" spans="1:22" s="9" customFormat="1" ht="15" customHeight="1" x14ac:dyDescent="0.25">
      <c r="A49" s="485"/>
      <c r="B49" s="486"/>
      <c r="C49" s="486"/>
      <c r="D49" s="505" t="s">
        <v>71</v>
      </c>
      <c r="E49" s="505"/>
      <c r="F49" s="505"/>
      <c r="G49" s="505"/>
      <c r="H49" s="505"/>
      <c r="I49" s="505"/>
      <c r="J49" s="505"/>
      <c r="K49" s="505"/>
      <c r="L49" s="505"/>
      <c r="M49" s="55"/>
      <c r="N49" s="56">
        <f>SUMIF($M$5:$M$45,D49,$N$5:$N$45)</f>
        <v>31777311969</v>
      </c>
      <c r="O49" s="56">
        <f>SUMIF($M$5:$M$45,D49,$O$5:$O$45)</f>
        <v>31859249643</v>
      </c>
      <c r="P49" s="56"/>
      <c r="Q49" s="56">
        <f>SUMIF($M$5:$M$45,D49,$Q$5:$Q$45)</f>
        <v>12178517548.709158</v>
      </c>
      <c r="R49" s="56">
        <f>SUMIF($M$5:$M$45,D49,$R$5:$R$45)</f>
        <v>3571514171.4328051</v>
      </c>
      <c r="S49" s="56">
        <f>SUMIF($M$5:$M$45,D49,$S$5:$S$45)</f>
        <v>19680732094.29084</v>
      </c>
      <c r="T49" s="319"/>
      <c r="U49" s="8"/>
      <c r="V49" s="5"/>
    </row>
    <row r="50" spans="1:22" s="9" customFormat="1" ht="15" customHeight="1" thickBot="1" x14ac:dyDescent="0.3">
      <c r="A50" s="485"/>
      <c r="B50" s="486"/>
      <c r="C50" s="486"/>
      <c r="D50" s="493" t="s">
        <v>61</v>
      </c>
      <c r="E50" s="494"/>
      <c r="F50" s="494"/>
      <c r="G50" s="494"/>
      <c r="H50" s="494"/>
      <c r="I50" s="494"/>
      <c r="J50" s="494"/>
      <c r="K50" s="494"/>
      <c r="L50" s="495"/>
      <c r="M50" s="57"/>
      <c r="N50" s="12">
        <f>SUMIF($M$5:$M$45,D50,$N$5:$N$45)</f>
        <v>24086688</v>
      </c>
      <c r="O50" s="12">
        <f>SUMIF($M$5:$M$45,D50,$O$5:$O$45)</f>
        <v>18384172.012149811</v>
      </c>
      <c r="P50" s="12"/>
      <c r="Q50" s="12">
        <f>SUMIF($M$5:$M$45,D50,$Q$5:$Q$45)</f>
        <v>3889303.4021576373</v>
      </c>
      <c r="R50" s="12">
        <f>SUMIF($M$5:$M$45,D50,$R$5:$R$45)</f>
        <v>2687639.4595199237</v>
      </c>
      <c r="S50" s="12">
        <f>SUMIF($M$5:$M$45,D50,$S$5:$S$45)</f>
        <v>14494868.609992173</v>
      </c>
      <c r="T50" s="320"/>
      <c r="U50" s="8"/>
      <c r="V50" s="5"/>
    </row>
    <row r="51" spans="1:22" ht="78" customHeight="1" outlineLevel="1" x14ac:dyDescent="0.25">
      <c r="A51" s="261">
        <v>28</v>
      </c>
      <c r="B51" s="255" t="s">
        <v>116</v>
      </c>
      <c r="C51" s="256" t="s">
        <v>117</v>
      </c>
      <c r="D51" s="258" t="s">
        <v>118</v>
      </c>
      <c r="E51" s="31" t="s">
        <v>29</v>
      </c>
      <c r="F51" s="284">
        <v>5000000</v>
      </c>
      <c r="G51" s="284">
        <v>5000000</v>
      </c>
      <c r="H51" s="281" t="s">
        <v>120</v>
      </c>
      <c r="I51" s="29">
        <v>1041667</v>
      </c>
      <c r="J51" s="284">
        <f>G51-I51</f>
        <v>3958333</v>
      </c>
      <c r="K51" s="266" t="s">
        <v>324</v>
      </c>
      <c r="L51" s="266" t="s">
        <v>119</v>
      </c>
      <c r="M51" s="31" t="s">
        <v>29</v>
      </c>
      <c r="N51" s="268">
        <v>5000000</v>
      </c>
      <c r="O51" s="268">
        <v>5000000</v>
      </c>
      <c r="P51" s="281" t="s">
        <v>120</v>
      </c>
      <c r="Q51" s="268">
        <f>4166666.69+208333.33+88124985.9/423</f>
        <v>4583333.3199999994</v>
      </c>
      <c r="R51" s="268">
        <f>553011.29+6019459.2/423</f>
        <v>567241.69000000006</v>
      </c>
      <c r="S51" s="268">
        <f t="shared" ref="S51:S56" si="3">O51-Q51</f>
        <v>416666.68000000063</v>
      </c>
      <c r="T51" s="292" t="s">
        <v>76</v>
      </c>
      <c r="V51" s="5"/>
    </row>
    <row r="52" spans="1:22" ht="71.25" customHeight="1" outlineLevel="1" x14ac:dyDescent="0.25">
      <c r="A52" s="260">
        <v>29</v>
      </c>
      <c r="B52" s="534" t="s">
        <v>121</v>
      </c>
      <c r="C52" s="251" t="s">
        <v>122</v>
      </c>
      <c r="D52" s="259" t="s">
        <v>118</v>
      </c>
      <c r="E52" s="272" t="s">
        <v>29</v>
      </c>
      <c r="F52" s="273">
        <v>5000000</v>
      </c>
      <c r="G52" s="273">
        <f>3302053.81+58000+43500</f>
        <v>3403553.81</v>
      </c>
      <c r="H52" s="293" t="s">
        <v>120</v>
      </c>
      <c r="I52" s="273">
        <v>0</v>
      </c>
      <c r="J52" s="273">
        <f>G52-I52</f>
        <v>3403553.81</v>
      </c>
      <c r="K52" s="265" t="s">
        <v>325</v>
      </c>
      <c r="L52" s="265" t="s">
        <v>123</v>
      </c>
      <c r="M52" s="272" t="s">
        <v>29</v>
      </c>
      <c r="N52" s="294">
        <v>5000000</v>
      </c>
      <c r="O52" s="294">
        <v>5000000</v>
      </c>
      <c r="P52" s="264" t="s">
        <v>120</v>
      </c>
      <c r="Q52" s="294">
        <f>3125000+208333.33+88124985.9/423</f>
        <v>3541666.63</v>
      </c>
      <c r="R52" s="294">
        <f>320254.8+16091046.9/423</f>
        <v>358295.1</v>
      </c>
      <c r="S52" s="294">
        <f t="shared" si="3"/>
        <v>1458333.37</v>
      </c>
      <c r="T52" s="573" t="s">
        <v>76</v>
      </c>
      <c r="V52" s="5"/>
    </row>
    <row r="53" spans="1:22" ht="71.25" customHeight="1" outlineLevel="1" x14ac:dyDescent="0.25">
      <c r="A53" s="260">
        <v>30</v>
      </c>
      <c r="B53" s="527"/>
      <c r="C53" s="251"/>
      <c r="D53" s="259" t="s">
        <v>463</v>
      </c>
      <c r="E53" s="272"/>
      <c r="F53" s="273"/>
      <c r="G53" s="273"/>
      <c r="H53" s="293"/>
      <c r="I53" s="273"/>
      <c r="J53" s="273"/>
      <c r="K53" s="265"/>
      <c r="L53" s="265"/>
      <c r="M53" s="47" t="s">
        <v>2</v>
      </c>
      <c r="N53" s="294"/>
      <c r="O53" s="294">
        <v>66094595</v>
      </c>
      <c r="P53" s="264"/>
      <c r="Q53" s="294">
        <f>6609471.44+6609433.4+6609473.7</f>
        <v>19828378.539999999</v>
      </c>
      <c r="R53" s="294">
        <f>1088882.59773529+1190830.4</f>
        <v>2279712.9977352899</v>
      </c>
      <c r="S53" s="294">
        <f t="shared" si="3"/>
        <v>46266216.460000001</v>
      </c>
      <c r="T53" s="574"/>
      <c r="V53" s="5"/>
    </row>
    <row r="54" spans="1:22" ht="55.5" customHeight="1" outlineLevel="1" x14ac:dyDescent="0.25">
      <c r="A54" s="270">
        <v>31</v>
      </c>
      <c r="B54" s="277" t="s">
        <v>124</v>
      </c>
      <c r="C54" s="271" t="s">
        <v>125</v>
      </c>
      <c r="D54" s="276" t="s">
        <v>126</v>
      </c>
      <c r="E54" s="272" t="s">
        <v>29</v>
      </c>
      <c r="F54" s="273">
        <v>5000000</v>
      </c>
      <c r="G54" s="273">
        <v>5000000</v>
      </c>
      <c r="H54" s="293" t="s">
        <v>435</v>
      </c>
      <c r="I54" s="34"/>
      <c r="J54" s="273">
        <f>G54-I54</f>
        <v>5000000</v>
      </c>
      <c r="K54" s="275" t="s">
        <v>326</v>
      </c>
      <c r="L54" s="275" t="s">
        <v>127</v>
      </c>
      <c r="M54" s="272" t="s">
        <v>29</v>
      </c>
      <c r="N54" s="294">
        <v>5000000</v>
      </c>
      <c r="O54" s="294">
        <v>5000000</v>
      </c>
      <c r="P54" s="293" t="s">
        <v>120</v>
      </c>
      <c r="Q54" s="294">
        <f>3227272.74+97124988.4/427.35+96136352.1/423</f>
        <v>3681818.1401287005</v>
      </c>
      <c r="R54" s="294">
        <v>475298.33641151118</v>
      </c>
      <c r="S54" s="294">
        <f t="shared" si="3"/>
        <v>1318181.8598712995</v>
      </c>
      <c r="T54" s="204" t="s">
        <v>76</v>
      </c>
      <c r="V54" s="5"/>
    </row>
    <row r="55" spans="1:22" ht="57" customHeight="1" outlineLevel="1" x14ac:dyDescent="0.25">
      <c r="A55" s="532">
        <v>32</v>
      </c>
      <c r="B55" s="534" t="s">
        <v>128</v>
      </c>
      <c r="C55" s="521" t="s">
        <v>129</v>
      </c>
      <c r="D55" s="259" t="s">
        <v>126</v>
      </c>
      <c r="E55" s="47" t="s">
        <v>29</v>
      </c>
      <c r="F55" s="282">
        <v>5000000</v>
      </c>
      <c r="G55" s="282">
        <v>2000000</v>
      </c>
      <c r="H55" s="264" t="s">
        <v>436</v>
      </c>
      <c r="I55" s="282">
        <v>0</v>
      </c>
      <c r="J55" s="282">
        <f>G55-I55</f>
        <v>2000000</v>
      </c>
      <c r="K55" s="265" t="s">
        <v>327</v>
      </c>
      <c r="L55" s="265" t="s">
        <v>130</v>
      </c>
      <c r="M55" s="47" t="s">
        <v>29</v>
      </c>
      <c r="N55" s="267">
        <v>5000000</v>
      </c>
      <c r="O55" s="294">
        <v>3000000</v>
      </c>
      <c r="P55" s="45" t="s">
        <v>279</v>
      </c>
      <c r="Q55" s="294">
        <f>676724.137931034+46797420.6/423</f>
        <v>787356.33793103392</v>
      </c>
      <c r="R55" s="294">
        <f>222742.9+6254858.7/423</f>
        <v>237529.8</v>
      </c>
      <c r="S55" s="267">
        <f t="shared" si="3"/>
        <v>2212643.6620689658</v>
      </c>
      <c r="T55" s="573" t="s">
        <v>76</v>
      </c>
      <c r="V55" s="5"/>
    </row>
    <row r="56" spans="1:22" ht="57" customHeight="1" outlineLevel="1" thickBot="1" x14ac:dyDescent="0.3">
      <c r="A56" s="536"/>
      <c r="B56" s="537"/>
      <c r="C56" s="538"/>
      <c r="D56" s="259" t="s">
        <v>463</v>
      </c>
      <c r="E56" s="47"/>
      <c r="F56" s="282">
        <v>5000000</v>
      </c>
      <c r="G56" s="282">
        <v>2000000</v>
      </c>
      <c r="H56" s="264" t="s">
        <v>436</v>
      </c>
      <c r="I56" s="282">
        <v>0</v>
      </c>
      <c r="J56" s="282">
        <f>G56-I56</f>
        <v>2000000</v>
      </c>
      <c r="K56" s="265" t="s">
        <v>327</v>
      </c>
      <c r="L56" s="265" t="s">
        <v>266</v>
      </c>
      <c r="M56" s="47" t="s">
        <v>2</v>
      </c>
      <c r="N56" s="267"/>
      <c r="O56" s="294">
        <v>94369557.609999999</v>
      </c>
      <c r="P56" s="45">
        <v>1.404E-2</v>
      </c>
      <c r="Q56" s="294">
        <f>9751561.92837819+3148517</f>
        <v>12900078.928378191</v>
      </c>
      <c r="R56" s="294">
        <f>1328413.8+491137.6</f>
        <v>1819551.4</v>
      </c>
      <c r="S56" s="267">
        <f t="shared" si="3"/>
        <v>81469478.681621805</v>
      </c>
      <c r="T56" s="580"/>
      <c r="V56" s="5"/>
    </row>
    <row r="57" spans="1:22" s="9" customFormat="1" ht="15" customHeight="1" x14ac:dyDescent="0.25">
      <c r="A57" s="496" t="s">
        <v>131</v>
      </c>
      <c r="B57" s="497"/>
      <c r="C57" s="497"/>
      <c r="D57" s="519" t="s">
        <v>29</v>
      </c>
      <c r="E57" s="519"/>
      <c r="F57" s="519"/>
      <c r="G57" s="519"/>
      <c r="H57" s="519"/>
      <c r="I57" s="519"/>
      <c r="J57" s="519"/>
      <c r="K57" s="519"/>
      <c r="L57" s="519"/>
      <c r="M57" s="53"/>
      <c r="N57" s="10">
        <f>SUMIF($M$51:$M$56,D57,$N$51:$N$56)</f>
        <v>20000000</v>
      </c>
      <c r="O57" s="10">
        <f>SUMIF($M$51:$M$56,D57,$O$51:$O$56)</f>
        <v>18000000</v>
      </c>
      <c r="P57" s="13"/>
      <c r="Q57" s="10">
        <f>SUMIF($M$51:$M$56,D57,$Q$51:$Q$56)</f>
        <v>12594174.428059733</v>
      </c>
      <c r="R57" s="10">
        <f>SUMIF($M$51:$M$56,D57,$R$51:$R$56)</f>
        <v>1638364.9264115111</v>
      </c>
      <c r="S57" s="10">
        <f>SUMIF($M$51:$M$56,D57,$S$51:$S$56)</f>
        <v>5405825.5719402656</v>
      </c>
      <c r="T57" s="317"/>
      <c r="U57" s="8"/>
      <c r="V57" s="5"/>
    </row>
    <row r="58" spans="1:22" s="9" customFormat="1" ht="15" customHeight="1" x14ac:dyDescent="0.25">
      <c r="A58" s="485"/>
      <c r="B58" s="486"/>
      <c r="C58" s="486"/>
      <c r="D58" s="503" t="s">
        <v>2</v>
      </c>
      <c r="E58" s="503"/>
      <c r="F58" s="503"/>
      <c r="G58" s="503"/>
      <c r="H58" s="503"/>
      <c r="I58" s="503"/>
      <c r="J58" s="503"/>
      <c r="K58" s="503"/>
      <c r="L58" s="503"/>
      <c r="M58" s="54"/>
      <c r="N58" s="11">
        <f>SUMIF($M$51:$M$56,D58,$N$51:$N$56)</f>
        <v>0</v>
      </c>
      <c r="O58" s="11">
        <f>SUMIF($M$51:$M$56,D58,$O$51:$O$56)</f>
        <v>160464152.61000001</v>
      </c>
      <c r="P58" s="11"/>
      <c r="Q58" s="11">
        <f>SUMIF($M$51:$M$56,D58,$Q$51:$Q$56)</f>
        <v>32728457.46837819</v>
      </c>
      <c r="R58" s="11">
        <f>SUMIF($M$51:$M$56,D58,$R$51:$R$56)</f>
        <v>4099264.3977352898</v>
      </c>
      <c r="S58" s="11">
        <f>SUMIF($M$51:$M$56,D58,$S$51:$S$56)</f>
        <v>127735695.1416218</v>
      </c>
      <c r="T58" s="318"/>
      <c r="U58" s="8"/>
      <c r="V58" s="5"/>
    </row>
    <row r="59" spans="1:22" s="9" customFormat="1" ht="15" customHeight="1" x14ac:dyDescent="0.25">
      <c r="A59" s="485"/>
      <c r="B59" s="486"/>
      <c r="C59" s="486"/>
      <c r="D59" s="503" t="s">
        <v>51</v>
      </c>
      <c r="E59" s="503"/>
      <c r="F59" s="503"/>
      <c r="G59" s="503"/>
      <c r="H59" s="503"/>
      <c r="I59" s="503"/>
      <c r="J59" s="503"/>
      <c r="K59" s="503"/>
      <c r="L59" s="503"/>
      <c r="M59" s="54"/>
      <c r="N59" s="11">
        <f>SUMIF($M$51:$M$56,D59,$N$51:$N$56)</f>
        <v>0</v>
      </c>
      <c r="O59" s="11">
        <f>SUMIF($M$51:$M$56,D59,$O$51:$O$56)</f>
        <v>0</v>
      </c>
      <c r="P59" s="11"/>
      <c r="Q59" s="11">
        <f>SUMIF($M$51:$M$56,D59,$Q$51:$Q$56)</f>
        <v>0</v>
      </c>
      <c r="R59" s="11">
        <f>SUMIF($M$51:$M$56,D59,$R$51:$R$56)</f>
        <v>0</v>
      </c>
      <c r="S59" s="11">
        <f>SUMIF($M$51:$M$56,D59,$S$51:$S$56)</f>
        <v>0</v>
      </c>
      <c r="T59" s="318"/>
      <c r="U59" s="8"/>
      <c r="V59" s="5"/>
    </row>
    <row r="60" spans="1:22" s="9" customFormat="1" ht="15" customHeight="1" thickBot="1" x14ac:dyDescent="0.3">
      <c r="A60" s="506"/>
      <c r="B60" s="507"/>
      <c r="C60" s="507"/>
      <c r="D60" s="520" t="s">
        <v>71</v>
      </c>
      <c r="E60" s="520"/>
      <c r="F60" s="520"/>
      <c r="G60" s="520"/>
      <c r="H60" s="520"/>
      <c r="I60" s="520"/>
      <c r="J60" s="520"/>
      <c r="K60" s="520"/>
      <c r="L60" s="520"/>
      <c r="M60" s="57"/>
      <c r="N60" s="12">
        <f>SUMIF($M$51:$M$56,D60,$N$51:$N$56)</f>
        <v>0</v>
      </c>
      <c r="O60" s="12">
        <f>SUMIF($M$51:$M$56,D60,$O$51:$O$56)</f>
        <v>0</v>
      </c>
      <c r="P60" s="12"/>
      <c r="Q60" s="12">
        <f>SUMIF($M$51:$M$56,D60,$Q$51:$Q$56)</f>
        <v>0</v>
      </c>
      <c r="R60" s="12">
        <f>SUMIF($M$51:$M$56,D60,$R$51:$R$56)</f>
        <v>0</v>
      </c>
      <c r="S60" s="12">
        <f>SUMIF($M$51:$M$56,D60,$S$51:$S$56)</f>
        <v>0</v>
      </c>
      <c r="T60" s="320"/>
      <c r="U60" s="8"/>
      <c r="V60" s="5"/>
    </row>
    <row r="61" spans="1:22" s="2" customFormat="1" ht="91.5" customHeight="1" outlineLevel="1" x14ac:dyDescent="0.25">
      <c r="A61" s="270">
        <v>33</v>
      </c>
      <c r="B61" s="271" t="s">
        <v>132</v>
      </c>
      <c r="C61" s="271" t="s">
        <v>133</v>
      </c>
      <c r="D61" s="271" t="s">
        <v>473</v>
      </c>
      <c r="E61" s="271"/>
      <c r="F61" s="271"/>
      <c r="G61" s="271"/>
      <c r="H61" s="271"/>
      <c r="I61" s="271"/>
      <c r="J61" s="271"/>
      <c r="K61" s="58" t="s">
        <v>328</v>
      </c>
      <c r="L61" s="271" t="s">
        <v>134</v>
      </c>
      <c r="M61" s="271" t="s">
        <v>2</v>
      </c>
      <c r="N61" s="294">
        <v>74000000000</v>
      </c>
      <c r="O61" s="294">
        <v>74000000000</v>
      </c>
      <c r="P61" s="293" t="s">
        <v>135</v>
      </c>
      <c r="Q61" s="294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1" s="294">
        <f>27971909177.5+338144.2+498915.4+526901.3</f>
        <v>27973273138.400002</v>
      </c>
      <c r="S61" s="273">
        <f>O61-Q61</f>
        <v>8809523809.2999802</v>
      </c>
      <c r="T61" s="204" t="s">
        <v>76</v>
      </c>
      <c r="U61" s="1"/>
      <c r="V61" s="5"/>
    </row>
    <row r="62" spans="1:22" s="2" customFormat="1" ht="91.5" customHeight="1" outlineLevel="1" x14ac:dyDescent="0.25">
      <c r="A62" s="270">
        <v>34</v>
      </c>
      <c r="B62" s="271" t="s">
        <v>132</v>
      </c>
      <c r="C62" s="271" t="s">
        <v>136</v>
      </c>
      <c r="D62" s="271" t="s">
        <v>27</v>
      </c>
      <c r="E62" s="271"/>
      <c r="F62" s="271"/>
      <c r="G62" s="271"/>
      <c r="H62" s="271"/>
      <c r="I62" s="271"/>
      <c r="J62" s="271"/>
      <c r="K62" s="58" t="s">
        <v>329</v>
      </c>
      <c r="L62" s="271" t="s">
        <v>137</v>
      </c>
      <c r="M62" s="271" t="s">
        <v>2</v>
      </c>
      <c r="N62" s="294">
        <v>2035890300</v>
      </c>
      <c r="O62" s="294">
        <v>2035890300</v>
      </c>
      <c r="P62" s="293" t="s">
        <v>44</v>
      </c>
      <c r="Q62" s="294">
        <v>0</v>
      </c>
      <c r="R62" s="294">
        <v>0</v>
      </c>
      <c r="S62" s="273">
        <f t="shared" ref="S62:S67" si="4">O62-Q62</f>
        <v>2035890300</v>
      </c>
      <c r="T62" s="204" t="s">
        <v>76</v>
      </c>
      <c r="U62" s="1"/>
      <c r="V62" s="5"/>
    </row>
    <row r="63" spans="1:22" ht="94.5" outlineLevel="1" x14ac:dyDescent="0.25">
      <c r="A63" s="261">
        <v>35</v>
      </c>
      <c r="B63" s="277" t="s">
        <v>138</v>
      </c>
      <c r="C63" s="271" t="s">
        <v>139</v>
      </c>
      <c r="D63" s="276" t="s">
        <v>27</v>
      </c>
      <c r="E63" s="272" t="s">
        <v>29</v>
      </c>
      <c r="F63" s="273">
        <v>3500000</v>
      </c>
      <c r="G63" s="273">
        <v>3500000</v>
      </c>
      <c r="H63" s="293">
        <v>7.4999999999999997E-3</v>
      </c>
      <c r="I63" s="34">
        <v>0</v>
      </c>
      <c r="J63" s="273">
        <f>G63-I63</f>
        <v>3500000</v>
      </c>
      <c r="K63" s="275" t="s">
        <v>330</v>
      </c>
      <c r="L63" s="276" t="s">
        <v>140</v>
      </c>
      <c r="M63" s="272" t="s">
        <v>29</v>
      </c>
      <c r="N63" s="294">
        <v>3500000</v>
      </c>
      <c r="O63" s="294">
        <v>3500000</v>
      </c>
      <c r="P63" s="293">
        <v>7.4999999999999997E-3</v>
      </c>
      <c r="Q63" s="294">
        <f>696000+31440060/542.07+58000+24255020/418.19+24400600/420.7+25920780/446.91</f>
        <v>986000</v>
      </c>
      <c r="R63" s="294">
        <f>399592.922231146+10515+10297.5+4215355.2/418.19+4149153.8/420.7+4310447/446.91</f>
        <v>449992.92246187496</v>
      </c>
      <c r="S63" s="273">
        <f t="shared" si="4"/>
        <v>2514000</v>
      </c>
      <c r="T63" s="204" t="s">
        <v>76</v>
      </c>
      <c r="V63" s="5"/>
    </row>
    <row r="64" spans="1:22" ht="69" customHeight="1" outlineLevel="1" x14ac:dyDescent="0.25">
      <c r="A64" s="270">
        <v>36</v>
      </c>
      <c r="B64" s="277" t="s">
        <v>141</v>
      </c>
      <c r="C64" s="271" t="s">
        <v>142</v>
      </c>
      <c r="D64" s="271" t="s">
        <v>143</v>
      </c>
      <c r="E64" s="278" t="s">
        <v>431</v>
      </c>
      <c r="F64" s="46">
        <v>1173750</v>
      </c>
      <c r="G64" s="46">
        <v>1109413</v>
      </c>
      <c r="H64" s="274"/>
      <c r="I64" s="46"/>
      <c r="J64" s="46"/>
      <c r="K64" s="278" t="s">
        <v>331</v>
      </c>
      <c r="L64" s="276" t="s">
        <v>144</v>
      </c>
      <c r="M64" s="272" t="s">
        <v>51</v>
      </c>
      <c r="N64" s="273">
        <v>1689937.9</v>
      </c>
      <c r="O64" s="294">
        <v>1689937.9</v>
      </c>
      <c r="P64" s="274">
        <v>5.9900000000000002E-2</v>
      </c>
      <c r="Q64" s="294">
        <f>872805.23+28165+28165</f>
        <v>929135.23</v>
      </c>
      <c r="R64" s="294">
        <f>1964862.47+25588.58+24871.58</f>
        <v>2015322.6300000001</v>
      </c>
      <c r="S64" s="273">
        <f t="shared" si="4"/>
        <v>760802.66999999993</v>
      </c>
      <c r="T64" s="321" t="s">
        <v>76</v>
      </c>
      <c r="V64" s="5"/>
    </row>
    <row r="65" spans="1:22" ht="69.75" customHeight="1" outlineLevel="1" x14ac:dyDescent="0.25">
      <c r="A65" s="261">
        <v>37</v>
      </c>
      <c r="B65" s="277" t="s">
        <v>145</v>
      </c>
      <c r="C65" s="271" t="s">
        <v>146</v>
      </c>
      <c r="D65" s="271" t="s">
        <v>143</v>
      </c>
      <c r="E65" s="272" t="s">
        <v>51</v>
      </c>
      <c r="F65" s="46">
        <v>2828000</v>
      </c>
      <c r="G65" s="46">
        <v>2828000</v>
      </c>
      <c r="H65" s="274"/>
      <c r="I65" s="46"/>
      <c r="J65" s="46"/>
      <c r="K65" s="278" t="s">
        <v>332</v>
      </c>
      <c r="L65" s="276" t="s">
        <v>147</v>
      </c>
      <c r="M65" s="272" t="s">
        <v>51</v>
      </c>
      <c r="N65" s="273">
        <v>2828000</v>
      </c>
      <c r="O65" s="294">
        <v>2828000</v>
      </c>
      <c r="P65" s="274">
        <v>5.9900000000000002E-2</v>
      </c>
      <c r="Q65" s="273">
        <f>1128831.5+47000</f>
        <v>1175831.5</v>
      </c>
      <c r="R65" s="294">
        <f>1731608.85+50775.51</f>
        <v>1782384.36</v>
      </c>
      <c r="S65" s="273">
        <f t="shared" si="4"/>
        <v>1652168.5</v>
      </c>
      <c r="T65" s="321" t="s">
        <v>76</v>
      </c>
      <c r="V65" s="5"/>
    </row>
    <row r="66" spans="1:22" s="4" customFormat="1" ht="177" customHeight="1" outlineLevel="1" x14ac:dyDescent="0.25">
      <c r="A66" s="270">
        <v>38</v>
      </c>
      <c r="B66" s="277" t="s">
        <v>148</v>
      </c>
      <c r="C66" s="271" t="s">
        <v>149</v>
      </c>
      <c r="D66" s="271" t="s">
        <v>143</v>
      </c>
      <c r="E66" s="278" t="s">
        <v>431</v>
      </c>
      <c r="F66" s="46">
        <v>7900000</v>
      </c>
      <c r="G66" s="59"/>
      <c r="H66" s="59"/>
      <c r="I66" s="59"/>
      <c r="J66" s="59"/>
      <c r="K66" s="276" t="s">
        <v>333</v>
      </c>
      <c r="L66" s="276" t="s">
        <v>150</v>
      </c>
      <c r="M66" s="271" t="s">
        <v>2</v>
      </c>
      <c r="N66" s="60">
        <v>2092000000</v>
      </c>
      <c r="O66" s="294">
        <v>2092000000</v>
      </c>
      <c r="P66" s="61">
        <v>0.02</v>
      </c>
      <c r="Q66" s="294">
        <f>354576270+35457627.1+35457627+35457627</f>
        <v>460949151.10000002</v>
      </c>
      <c r="R66" s="294">
        <f>426427783.87+17517039.3+16879773.4+16802058.1</f>
        <v>477626654.67000002</v>
      </c>
      <c r="S66" s="273">
        <f t="shared" si="4"/>
        <v>1631050848.9000001</v>
      </c>
      <c r="T66" s="321" t="s">
        <v>76</v>
      </c>
      <c r="U66" s="3"/>
      <c r="V66" s="5"/>
    </row>
    <row r="67" spans="1:22" s="4" customFormat="1" ht="169.5" customHeight="1" outlineLevel="1" thickBot="1" x14ac:dyDescent="0.3">
      <c r="A67" s="261">
        <v>39</v>
      </c>
      <c r="B67" s="277" t="s">
        <v>148</v>
      </c>
      <c r="C67" s="271" t="s">
        <v>151</v>
      </c>
      <c r="D67" s="271" t="s">
        <v>143</v>
      </c>
      <c r="E67" s="278"/>
      <c r="F67" s="46"/>
      <c r="G67" s="59"/>
      <c r="H67" s="59"/>
      <c r="I67" s="59"/>
      <c r="J67" s="59"/>
      <c r="K67" s="276" t="s">
        <v>334</v>
      </c>
      <c r="L67" s="276" t="s">
        <v>152</v>
      </c>
      <c r="M67" s="276" t="s">
        <v>2</v>
      </c>
      <c r="N67" s="60">
        <v>2187306400</v>
      </c>
      <c r="O67" s="60">
        <v>2187306400</v>
      </c>
      <c r="P67" s="61">
        <v>0.03</v>
      </c>
      <c r="Q67" s="294">
        <v>0</v>
      </c>
      <c r="R67" s="294">
        <f>224789707.9+33079263.9+32539928.1+33079263.9</f>
        <v>323488163.80000001</v>
      </c>
      <c r="S67" s="273">
        <f t="shared" si="4"/>
        <v>2187306400</v>
      </c>
      <c r="T67" s="321" t="s">
        <v>76</v>
      </c>
      <c r="U67" s="3"/>
      <c r="V67" s="5"/>
    </row>
    <row r="68" spans="1:22" s="9" customFormat="1" ht="15" customHeight="1" x14ac:dyDescent="0.25">
      <c r="A68" s="496" t="s">
        <v>153</v>
      </c>
      <c r="B68" s="497"/>
      <c r="C68" s="497"/>
      <c r="D68" s="519" t="s">
        <v>29</v>
      </c>
      <c r="E68" s="519"/>
      <c r="F68" s="519"/>
      <c r="G68" s="519"/>
      <c r="H68" s="519"/>
      <c r="I68" s="519"/>
      <c r="J68" s="519"/>
      <c r="K68" s="519"/>
      <c r="L68" s="519"/>
      <c r="M68" s="53"/>
      <c r="N68" s="13">
        <f>SUMIF($M$61:$M$67,D68,$N$61:$N$67)</f>
        <v>3500000</v>
      </c>
      <c r="O68" s="13">
        <f>SUMIF($M$61:$M$67,D68,$O$61:$O$67)</f>
        <v>3500000</v>
      </c>
      <c r="P68" s="13"/>
      <c r="Q68" s="13">
        <f>SUMIF($M$61:$M$67,D68,$Q$61:$Q$67)</f>
        <v>986000</v>
      </c>
      <c r="R68" s="13">
        <f>SUMIF($M$61:$M$67,D68,$R$61:$R$67)</f>
        <v>449992.92246187496</v>
      </c>
      <c r="S68" s="13">
        <f>SUMIF($M$61:$M$67,D68,$S$61:$S$67)</f>
        <v>2514000</v>
      </c>
      <c r="T68" s="317"/>
      <c r="U68" s="8"/>
      <c r="V68" s="5"/>
    </row>
    <row r="69" spans="1:22" s="9" customFormat="1" ht="15" customHeight="1" x14ac:dyDescent="0.25">
      <c r="A69" s="485"/>
      <c r="B69" s="486"/>
      <c r="C69" s="486"/>
      <c r="D69" s="503" t="s">
        <v>2</v>
      </c>
      <c r="E69" s="503"/>
      <c r="F69" s="503"/>
      <c r="G69" s="503"/>
      <c r="H69" s="503"/>
      <c r="I69" s="503"/>
      <c r="J69" s="503"/>
      <c r="K69" s="503"/>
      <c r="L69" s="503"/>
      <c r="M69" s="54"/>
      <c r="N69" s="11">
        <f>SUMIF($M$61:$M$67,D69,$N$61:$N$67)</f>
        <v>80315196700</v>
      </c>
      <c r="O69" s="11">
        <f>SUMIF($M$61:$M$67,D69,$O$61:$O$67)</f>
        <v>80315196700</v>
      </c>
      <c r="P69" s="11"/>
      <c r="Q69" s="11">
        <f>SUMIF($M$61:$M$67,D69,$Q$61:$Q$67)</f>
        <v>65651425341.800018</v>
      </c>
      <c r="R69" s="11">
        <f>SUMIF($M$61:$M$67,D69,$R$61:$R$67)</f>
        <v>28774387956.869999</v>
      </c>
      <c r="S69" s="11">
        <f>SUMIF($M$61:$M$67,D69,$S$61:$S$67)</f>
        <v>14663771358.19998</v>
      </c>
      <c r="T69" s="318"/>
      <c r="U69" s="8"/>
      <c r="V69" s="5"/>
    </row>
    <row r="70" spans="1:22" s="9" customFormat="1" ht="15" customHeight="1" x14ac:dyDescent="0.25">
      <c r="A70" s="485"/>
      <c r="B70" s="486"/>
      <c r="C70" s="486"/>
      <c r="D70" s="503" t="s">
        <v>51</v>
      </c>
      <c r="E70" s="503"/>
      <c r="F70" s="503"/>
      <c r="G70" s="503"/>
      <c r="H70" s="503"/>
      <c r="I70" s="503"/>
      <c r="J70" s="503"/>
      <c r="K70" s="503"/>
      <c r="L70" s="503"/>
      <c r="M70" s="54"/>
      <c r="N70" s="11">
        <f>SUMIF($M$61:$M$67,D70,$N$61:$N$67)</f>
        <v>4517937.9000000004</v>
      </c>
      <c r="O70" s="11">
        <f>SUMIF($M$61:$M$67,D70,$O$61:$O$67)</f>
        <v>4517937.9000000004</v>
      </c>
      <c r="P70" s="11"/>
      <c r="Q70" s="11">
        <f>SUMIF($M$61:$M$67,D70,$Q$61:$Q$67)</f>
        <v>2104966.73</v>
      </c>
      <c r="R70" s="11">
        <f>SUMIF($M$61:$M$67,D70,$R$61:$R$67)</f>
        <v>3797706.99</v>
      </c>
      <c r="S70" s="11">
        <f>SUMIF($M$61:$M$67,D70,$S$61:$S$67)</f>
        <v>2412971.17</v>
      </c>
      <c r="T70" s="318"/>
      <c r="U70" s="8"/>
      <c r="V70" s="5"/>
    </row>
    <row r="71" spans="1:22" s="9" customFormat="1" ht="15" thickBot="1" x14ac:dyDescent="0.3">
      <c r="A71" s="506"/>
      <c r="B71" s="507"/>
      <c r="C71" s="507"/>
      <c r="D71" s="520" t="s">
        <v>71</v>
      </c>
      <c r="E71" s="520"/>
      <c r="F71" s="520"/>
      <c r="G71" s="520"/>
      <c r="H71" s="520"/>
      <c r="I71" s="520"/>
      <c r="J71" s="520"/>
      <c r="K71" s="520"/>
      <c r="L71" s="520"/>
      <c r="M71" s="57"/>
      <c r="N71" s="12">
        <f>SUMIF($M$61:$M$67,D71,$N$61:$N$67)</f>
        <v>0</v>
      </c>
      <c r="O71" s="12">
        <f>SUMIF($M$61:$M$67,D71,$O$61:$O$67)</f>
        <v>0</v>
      </c>
      <c r="P71" s="12"/>
      <c r="Q71" s="12">
        <f>SUMIF($M$61:$M$67,D71,$Q$61:$Q$67)</f>
        <v>0</v>
      </c>
      <c r="R71" s="12">
        <f>SUMIF($M$61:$M$67,D71,$R$61:$R$67)</f>
        <v>0</v>
      </c>
      <c r="S71" s="12">
        <f>SUMIF($M$61:$M$67,D71,$S$61:$S$67)</f>
        <v>0</v>
      </c>
      <c r="T71" s="320"/>
      <c r="U71" s="8"/>
      <c r="V71" s="5"/>
    </row>
    <row r="72" spans="1:22" s="2" customFormat="1" ht="77.25" customHeight="1" outlineLevel="1" x14ac:dyDescent="0.25">
      <c r="A72" s="270">
        <v>40</v>
      </c>
      <c r="B72" s="277" t="s">
        <v>154</v>
      </c>
      <c r="C72" s="271" t="s">
        <v>155</v>
      </c>
      <c r="D72" s="271" t="s">
        <v>93</v>
      </c>
      <c r="E72" s="271"/>
      <c r="F72" s="271"/>
      <c r="G72" s="271"/>
      <c r="H72" s="271"/>
      <c r="I72" s="271"/>
      <c r="J72" s="271"/>
      <c r="K72" s="271" t="s">
        <v>335</v>
      </c>
      <c r="L72" s="271" t="s">
        <v>156</v>
      </c>
      <c r="M72" s="272" t="s">
        <v>51</v>
      </c>
      <c r="N72" s="294">
        <v>361332</v>
      </c>
      <c r="O72" s="294">
        <v>361332</v>
      </c>
      <c r="P72" s="293">
        <v>7.7700000000000005E-2</v>
      </c>
      <c r="Q72" s="294">
        <v>219031</v>
      </c>
      <c r="R72" s="294">
        <f>187530</f>
        <v>187530</v>
      </c>
      <c r="S72" s="273">
        <f>O72-Q72</f>
        <v>142301</v>
      </c>
      <c r="T72" s="204" t="s">
        <v>157</v>
      </c>
      <c r="U72" s="1"/>
      <c r="V72" s="5"/>
    </row>
    <row r="73" spans="1:22" ht="64.5" customHeight="1" outlineLevel="1" x14ac:dyDescent="0.25">
      <c r="A73" s="270">
        <v>41</v>
      </c>
      <c r="B73" s="277" t="s">
        <v>158</v>
      </c>
      <c r="C73" s="271" t="s">
        <v>159</v>
      </c>
      <c r="D73" s="259" t="s">
        <v>118</v>
      </c>
      <c r="E73" s="278"/>
      <c r="F73" s="278"/>
      <c r="G73" s="278"/>
      <c r="H73" s="278"/>
      <c r="I73" s="278"/>
      <c r="J73" s="278"/>
      <c r="K73" s="275" t="s">
        <v>336</v>
      </c>
      <c r="L73" s="294" t="s">
        <v>160</v>
      </c>
      <c r="M73" s="272" t="s">
        <v>29</v>
      </c>
      <c r="N73" s="294">
        <v>8000000</v>
      </c>
      <c r="O73" s="294">
        <v>80000</v>
      </c>
      <c r="P73" s="293" t="s">
        <v>44</v>
      </c>
      <c r="Q73" s="294">
        <f>10909.09+3636.36+3636.36+1428217/392.76+1554016/427.35+3636.4</f>
        <v>29090.971703756208</v>
      </c>
      <c r="R73" s="294">
        <f>105386.95+361.72+42360.02+4761284/392.76+5116448/427.35+12019.8</f>
        <v>184223.61988818215</v>
      </c>
      <c r="S73" s="273">
        <f>O73-Q73</f>
        <v>50909.028296243792</v>
      </c>
      <c r="T73" s="204" t="s">
        <v>161</v>
      </c>
      <c r="V73" s="5"/>
    </row>
    <row r="74" spans="1:22" ht="53.25" customHeight="1" outlineLevel="1" x14ac:dyDescent="0.25">
      <c r="A74" s="270">
        <v>42</v>
      </c>
      <c r="B74" s="277" t="s">
        <v>158</v>
      </c>
      <c r="C74" s="271" t="s">
        <v>162</v>
      </c>
      <c r="D74" s="259" t="s">
        <v>126</v>
      </c>
      <c r="E74" s="278"/>
      <c r="F74" s="278"/>
      <c r="G74" s="278"/>
      <c r="H74" s="278"/>
      <c r="I74" s="278"/>
      <c r="J74" s="278"/>
      <c r="K74" s="275" t="s">
        <v>337</v>
      </c>
      <c r="L74" s="294" t="s">
        <v>160</v>
      </c>
      <c r="M74" s="272" t="s">
        <v>29</v>
      </c>
      <c r="N74" s="294">
        <v>8000000</v>
      </c>
      <c r="O74" s="294"/>
      <c r="P74" s="293" t="s">
        <v>44</v>
      </c>
      <c r="Q74" s="294"/>
      <c r="R74" s="294"/>
      <c r="S74" s="273">
        <f>O74-Q74</f>
        <v>0</v>
      </c>
      <c r="T74" s="204" t="s">
        <v>161</v>
      </c>
      <c r="V74" s="5"/>
    </row>
    <row r="75" spans="1:22" ht="53.25" customHeight="1" outlineLevel="1" x14ac:dyDescent="0.25">
      <c r="A75" s="532">
        <v>43</v>
      </c>
      <c r="B75" s="534" t="s">
        <v>163</v>
      </c>
      <c r="C75" s="521" t="s">
        <v>264</v>
      </c>
      <c r="D75" s="259" t="s">
        <v>118</v>
      </c>
      <c r="E75" s="278"/>
      <c r="F75" s="278"/>
      <c r="G75" s="278"/>
      <c r="H75" s="278"/>
      <c r="I75" s="278"/>
      <c r="J75" s="278"/>
      <c r="K75" s="275" t="s">
        <v>338</v>
      </c>
      <c r="L75" s="521" t="s">
        <v>281</v>
      </c>
      <c r="M75" s="272" t="s">
        <v>29</v>
      </c>
      <c r="N75" s="294">
        <v>5500000</v>
      </c>
      <c r="O75" s="294">
        <f>1384955.78+492272.39+301757.1+219245.55+25340.75</f>
        <v>2423571.5699999998</v>
      </c>
      <c r="P75" s="293" t="s">
        <v>44</v>
      </c>
      <c r="Q75" s="294"/>
      <c r="R75" s="294"/>
      <c r="S75" s="273">
        <f t="shared" ref="S75:S97" si="5">O75-Q75</f>
        <v>2423571.5699999998</v>
      </c>
      <c r="T75" s="204" t="s">
        <v>76</v>
      </c>
      <c r="V75" s="5"/>
    </row>
    <row r="76" spans="1:22" ht="31.5" customHeight="1" outlineLevel="1" x14ac:dyDescent="0.25">
      <c r="A76" s="533"/>
      <c r="B76" s="527"/>
      <c r="C76" s="528"/>
      <c r="D76" s="259" t="s">
        <v>463</v>
      </c>
      <c r="E76" s="278"/>
      <c r="F76" s="278"/>
      <c r="G76" s="278"/>
      <c r="H76" s="278"/>
      <c r="I76" s="278"/>
      <c r="J76" s="278"/>
      <c r="K76" s="275"/>
      <c r="L76" s="528"/>
      <c r="M76" s="276" t="s">
        <v>2</v>
      </c>
      <c r="N76" s="294">
        <v>92733053.200000003</v>
      </c>
      <c r="O76" s="294">
        <f>92733053.2+20276600+1679251+16492341.9+20399976.4+42969092+26833268.5</f>
        <v>221383583</v>
      </c>
      <c r="P76" s="293"/>
      <c r="Q76" s="294"/>
      <c r="R76" s="294"/>
      <c r="S76" s="273">
        <f t="shared" si="5"/>
        <v>221383583</v>
      </c>
      <c r="T76" s="204"/>
      <c r="V76" s="5"/>
    </row>
    <row r="77" spans="1:22" ht="54" outlineLevel="1" x14ac:dyDescent="0.25">
      <c r="A77" s="270">
        <v>44</v>
      </c>
      <c r="B77" s="277" t="s">
        <v>164</v>
      </c>
      <c r="C77" s="271" t="s">
        <v>165</v>
      </c>
      <c r="D77" s="271" t="s">
        <v>463</v>
      </c>
      <c r="E77" s="278"/>
      <c r="F77" s="278"/>
      <c r="G77" s="278"/>
      <c r="H77" s="278"/>
      <c r="I77" s="278"/>
      <c r="J77" s="278"/>
      <c r="K77" s="275" t="s">
        <v>339</v>
      </c>
      <c r="L77" s="294" t="s">
        <v>166</v>
      </c>
      <c r="M77" s="276" t="s">
        <v>2</v>
      </c>
      <c r="N77" s="294">
        <v>249300000</v>
      </c>
      <c r="O77" s="294">
        <v>249300000</v>
      </c>
      <c r="P77" s="295">
        <v>1E-3</v>
      </c>
      <c r="Q77" s="294">
        <f>42881892.9</f>
        <v>42881892.899999999</v>
      </c>
      <c r="R77" s="294">
        <f>528153.5</f>
        <v>528153.5</v>
      </c>
      <c r="S77" s="273">
        <f t="shared" si="5"/>
        <v>206418107.09999999</v>
      </c>
      <c r="T77" s="204" t="s">
        <v>76</v>
      </c>
      <c r="V77" s="5"/>
    </row>
    <row r="78" spans="1:22" ht="148.5" outlineLevel="1" x14ac:dyDescent="0.25">
      <c r="A78" s="270">
        <v>45</v>
      </c>
      <c r="B78" s="262" t="s">
        <v>107</v>
      </c>
      <c r="C78" s="251" t="s">
        <v>108</v>
      </c>
      <c r="D78" s="259" t="s">
        <v>101</v>
      </c>
      <c r="E78" s="278"/>
      <c r="F78" s="278"/>
      <c r="G78" s="278"/>
      <c r="H78" s="278"/>
      <c r="I78" s="278"/>
      <c r="J78" s="278"/>
      <c r="K78" s="265" t="s">
        <v>340</v>
      </c>
      <c r="L78" s="267" t="s">
        <v>109</v>
      </c>
      <c r="M78" s="272" t="s">
        <v>51</v>
      </c>
      <c r="N78" s="294">
        <v>4000000</v>
      </c>
      <c r="O78" s="294">
        <v>869162.07</v>
      </c>
      <c r="P78" s="293" t="s">
        <v>44</v>
      </c>
      <c r="Q78" s="294">
        <f>465353.9+34986668/397.71</f>
        <v>553324.19996731286</v>
      </c>
      <c r="R78" s="294">
        <f>188098.2+7483550/397.71</f>
        <v>206914.80003520154</v>
      </c>
      <c r="S78" s="282">
        <f>O78-Q78</f>
        <v>315837.87003268709</v>
      </c>
      <c r="T78" s="291" t="s">
        <v>110</v>
      </c>
      <c r="V78" s="5"/>
    </row>
    <row r="79" spans="1:22" s="4" customFormat="1" ht="40.5" outlineLevel="1" x14ac:dyDescent="0.25">
      <c r="A79" s="270">
        <v>46</v>
      </c>
      <c r="B79" s="277" t="s">
        <v>167</v>
      </c>
      <c r="C79" s="271" t="s">
        <v>133</v>
      </c>
      <c r="D79" s="276" t="s">
        <v>473</v>
      </c>
      <c r="E79" s="278" t="s">
        <v>2</v>
      </c>
      <c r="F79" s="278"/>
      <c r="G79" s="271"/>
      <c r="H79" s="271"/>
      <c r="I79" s="271"/>
      <c r="J79" s="271"/>
      <c r="K79" s="276" t="s">
        <v>341</v>
      </c>
      <c r="L79" s="276" t="s">
        <v>291</v>
      </c>
      <c r="M79" s="276" t="s">
        <v>2</v>
      </c>
      <c r="N79" s="60">
        <v>50600000</v>
      </c>
      <c r="O79" s="294">
        <v>50600000</v>
      </c>
      <c r="P79" s="277" t="s">
        <v>168</v>
      </c>
      <c r="Q79" s="294"/>
      <c r="R79" s="294"/>
      <c r="S79" s="60">
        <f t="shared" si="5"/>
        <v>50600000</v>
      </c>
      <c r="T79" s="204" t="s">
        <v>76</v>
      </c>
      <c r="U79" s="3"/>
      <c r="V79" s="5"/>
    </row>
    <row r="80" spans="1:22" s="4" customFormat="1" ht="40.5" outlineLevel="1" x14ac:dyDescent="0.25">
      <c r="A80" s="270">
        <v>47</v>
      </c>
      <c r="B80" s="277" t="s">
        <v>167</v>
      </c>
      <c r="C80" s="271" t="s">
        <v>133</v>
      </c>
      <c r="D80" s="276" t="s">
        <v>473</v>
      </c>
      <c r="E80" s="278" t="s">
        <v>2</v>
      </c>
      <c r="F80" s="278"/>
      <c r="G80" s="278"/>
      <c r="H80" s="278"/>
      <c r="I80" s="278"/>
      <c r="J80" s="278"/>
      <c r="K80" s="276" t="s">
        <v>342</v>
      </c>
      <c r="L80" s="276" t="s">
        <v>292</v>
      </c>
      <c r="M80" s="271" t="s">
        <v>2</v>
      </c>
      <c r="N80" s="60">
        <v>1100000000</v>
      </c>
      <c r="O80" s="294">
        <v>1100000000</v>
      </c>
      <c r="P80" s="277" t="s">
        <v>168</v>
      </c>
      <c r="Q80" s="294"/>
      <c r="R80" s="294"/>
      <c r="S80" s="60">
        <f t="shared" si="5"/>
        <v>1100000000</v>
      </c>
      <c r="T80" s="577" t="s">
        <v>267</v>
      </c>
      <c r="U80" s="3"/>
      <c r="V80" s="5"/>
    </row>
    <row r="81" spans="1:22" s="4" customFormat="1" ht="40.5" outlineLevel="1" x14ac:dyDescent="0.25">
      <c r="A81" s="270">
        <v>48</v>
      </c>
      <c r="B81" s="277" t="s">
        <v>167</v>
      </c>
      <c r="C81" s="271" t="s">
        <v>133</v>
      </c>
      <c r="D81" s="276" t="s">
        <v>473</v>
      </c>
      <c r="E81" s="278" t="s">
        <v>2</v>
      </c>
      <c r="F81" s="278"/>
      <c r="G81" s="278"/>
      <c r="H81" s="278"/>
      <c r="I81" s="278"/>
      <c r="J81" s="278"/>
      <c r="K81" s="276" t="s">
        <v>343</v>
      </c>
      <c r="L81" s="276" t="s">
        <v>293</v>
      </c>
      <c r="M81" s="271" t="s">
        <v>2</v>
      </c>
      <c r="N81" s="60">
        <v>792386600</v>
      </c>
      <c r="O81" s="294">
        <v>791031693</v>
      </c>
      <c r="P81" s="277" t="s">
        <v>168</v>
      </c>
      <c r="Q81" s="294"/>
      <c r="R81" s="294"/>
      <c r="S81" s="60">
        <f t="shared" si="5"/>
        <v>791031693</v>
      </c>
      <c r="T81" s="578"/>
      <c r="U81" s="3"/>
      <c r="V81" s="5"/>
    </row>
    <row r="82" spans="1:22" s="4" customFormat="1" ht="40.5" outlineLevel="1" x14ac:dyDescent="0.25">
      <c r="A82" s="270">
        <v>49</v>
      </c>
      <c r="B82" s="277" t="s">
        <v>167</v>
      </c>
      <c r="C82" s="271" t="s">
        <v>133</v>
      </c>
      <c r="D82" s="276" t="s">
        <v>473</v>
      </c>
      <c r="E82" s="278" t="s">
        <v>2</v>
      </c>
      <c r="F82" s="278"/>
      <c r="G82" s="278"/>
      <c r="H82" s="278"/>
      <c r="I82" s="278"/>
      <c r="J82" s="278"/>
      <c r="K82" s="276" t="s">
        <v>344</v>
      </c>
      <c r="L82" s="276" t="s">
        <v>294</v>
      </c>
      <c r="M82" s="271" t="s">
        <v>2</v>
      </c>
      <c r="N82" s="60">
        <v>254672300</v>
      </c>
      <c r="O82" s="294">
        <f>168444408+75498000+5196300+5196300</f>
        <v>254335008</v>
      </c>
      <c r="P82" s="277" t="s">
        <v>168</v>
      </c>
      <c r="Q82" s="294"/>
      <c r="R82" s="294"/>
      <c r="S82" s="60">
        <f t="shared" si="5"/>
        <v>254335008</v>
      </c>
      <c r="T82" s="579"/>
      <c r="U82" s="3"/>
      <c r="V82" s="5"/>
    </row>
    <row r="83" spans="1:22" s="4" customFormat="1" ht="40.5" outlineLevel="1" x14ac:dyDescent="0.25">
      <c r="A83" s="270">
        <v>50</v>
      </c>
      <c r="B83" s="277" t="s">
        <v>169</v>
      </c>
      <c r="C83" s="271" t="s">
        <v>133</v>
      </c>
      <c r="D83" s="276" t="s">
        <v>463</v>
      </c>
      <c r="E83" s="278" t="s">
        <v>2</v>
      </c>
      <c r="F83" s="278"/>
      <c r="G83" s="278"/>
      <c r="H83" s="278"/>
      <c r="I83" s="278"/>
      <c r="J83" s="278"/>
      <c r="K83" s="276" t="s">
        <v>345</v>
      </c>
      <c r="L83" s="276" t="s">
        <v>170</v>
      </c>
      <c r="M83" s="271" t="s">
        <v>2</v>
      </c>
      <c r="N83" s="60">
        <v>88731015</v>
      </c>
      <c r="O83" s="294">
        <v>88731000</v>
      </c>
      <c r="P83" s="62">
        <v>8.5000000000000006E-2</v>
      </c>
      <c r="Q83" s="294"/>
      <c r="R83" s="294">
        <v>1591081</v>
      </c>
      <c r="S83" s="60">
        <f t="shared" si="5"/>
        <v>88731000</v>
      </c>
      <c r="T83" s="321" t="s">
        <v>171</v>
      </c>
      <c r="U83" s="3"/>
      <c r="V83" s="5"/>
    </row>
    <row r="84" spans="1:22" s="4" customFormat="1" ht="40.5" outlineLevel="1" x14ac:dyDescent="0.25">
      <c r="A84" s="270">
        <v>51</v>
      </c>
      <c r="B84" s="277" t="s">
        <v>172</v>
      </c>
      <c r="C84" s="271" t="s">
        <v>173</v>
      </c>
      <c r="D84" s="276" t="s">
        <v>463</v>
      </c>
      <c r="E84" s="278" t="s">
        <v>2</v>
      </c>
      <c r="F84" s="278"/>
      <c r="G84" s="278"/>
      <c r="H84" s="278"/>
      <c r="I84" s="278"/>
      <c r="J84" s="278"/>
      <c r="K84" s="276" t="s">
        <v>346</v>
      </c>
      <c r="L84" s="276" t="s">
        <v>174</v>
      </c>
      <c r="M84" s="271" t="s">
        <v>2</v>
      </c>
      <c r="N84" s="60">
        <v>3840000000</v>
      </c>
      <c r="O84" s="294">
        <v>3840000000</v>
      </c>
      <c r="P84" s="63">
        <v>1.0000000000000001E-5</v>
      </c>
      <c r="Q84" s="294">
        <v>3484641868</v>
      </c>
      <c r="R84" s="294">
        <v>37169</v>
      </c>
      <c r="S84" s="60">
        <f t="shared" si="5"/>
        <v>355358132</v>
      </c>
      <c r="T84" s="321" t="s">
        <v>76</v>
      </c>
      <c r="U84" s="3"/>
      <c r="V84" s="5"/>
    </row>
    <row r="85" spans="1:22" ht="94.5" outlineLevel="1" x14ac:dyDescent="0.25">
      <c r="A85" s="270">
        <v>52</v>
      </c>
      <c r="B85" s="262" t="s">
        <v>175</v>
      </c>
      <c r="C85" s="251" t="s">
        <v>173</v>
      </c>
      <c r="D85" s="251" t="s">
        <v>143</v>
      </c>
      <c r="E85" s="251"/>
      <c r="F85" s="251"/>
      <c r="G85" s="251"/>
      <c r="H85" s="251"/>
      <c r="I85" s="251"/>
      <c r="J85" s="251"/>
      <c r="K85" s="271" t="s">
        <v>347</v>
      </c>
      <c r="L85" s="271" t="s">
        <v>176</v>
      </c>
      <c r="M85" s="271" t="s">
        <v>51</v>
      </c>
      <c r="N85" s="64">
        <v>8944984.0899999999</v>
      </c>
      <c r="O85" s="294">
        <v>8944984.0899999999</v>
      </c>
      <c r="P85" s="65">
        <v>7.4999999999999997E-3</v>
      </c>
      <c r="Q85" s="294">
        <f>2425758.4+151609.9+151609.9</f>
        <v>2728978.1999999997</v>
      </c>
      <c r="R85" s="294">
        <f>881276.03+25084.35+24380.12+23943.98</f>
        <v>954684.48</v>
      </c>
      <c r="S85" s="273">
        <f t="shared" si="5"/>
        <v>6216005.8900000006</v>
      </c>
      <c r="T85" s="291" t="s">
        <v>76</v>
      </c>
      <c r="V85" s="5"/>
    </row>
    <row r="86" spans="1:22" ht="55.5" customHeight="1" outlineLevel="1" x14ac:dyDescent="0.25">
      <c r="A86" s="532">
        <v>53</v>
      </c>
      <c r="B86" s="534" t="s">
        <v>177</v>
      </c>
      <c r="C86" s="521" t="s">
        <v>173</v>
      </c>
      <c r="D86" s="521" t="s">
        <v>143</v>
      </c>
      <c r="E86" s="251"/>
      <c r="F86" s="251"/>
      <c r="G86" s="251"/>
      <c r="H86" s="251"/>
      <c r="I86" s="251"/>
      <c r="J86" s="251"/>
      <c r="K86" s="521" t="s">
        <v>348</v>
      </c>
      <c r="L86" s="271" t="s">
        <v>178</v>
      </c>
      <c r="M86" s="271" t="s">
        <v>51</v>
      </c>
      <c r="N86" s="64">
        <v>5217725</v>
      </c>
      <c r="O86" s="294">
        <v>5217725</v>
      </c>
      <c r="P86" s="65">
        <v>7.4999999999999997E-3</v>
      </c>
      <c r="Q86" s="294">
        <f>782658.5+52177.25+52177.25</f>
        <v>887013</v>
      </c>
      <c r="R86" s="294">
        <f>538816.19+16480.36</f>
        <v>555296.54999999993</v>
      </c>
      <c r="S86" s="273">
        <f t="shared" si="5"/>
        <v>4330712</v>
      </c>
      <c r="T86" s="573" t="s">
        <v>76</v>
      </c>
      <c r="V86" s="5"/>
    </row>
    <row r="87" spans="1:22" ht="55.5" customHeight="1" outlineLevel="1" x14ac:dyDescent="0.25">
      <c r="A87" s="525"/>
      <c r="B87" s="526"/>
      <c r="C87" s="522"/>
      <c r="D87" s="522"/>
      <c r="E87" s="251"/>
      <c r="F87" s="251"/>
      <c r="G87" s="251"/>
      <c r="H87" s="251"/>
      <c r="I87" s="251"/>
      <c r="J87" s="251"/>
      <c r="K87" s="522"/>
      <c r="L87" s="271" t="s">
        <v>178</v>
      </c>
      <c r="M87" s="271" t="s">
        <v>2</v>
      </c>
      <c r="N87" s="64">
        <v>93025000</v>
      </c>
      <c r="O87" s="294">
        <v>93025000</v>
      </c>
      <c r="P87" s="65">
        <v>7.4999999999999997E-3</v>
      </c>
      <c r="Q87" s="294">
        <f>13953750+930250+930250</f>
        <v>15814250</v>
      </c>
      <c r="R87" s="294">
        <f>9237334.28+296030</f>
        <v>9533364.2799999993</v>
      </c>
      <c r="S87" s="273">
        <f t="shared" si="5"/>
        <v>77210750</v>
      </c>
      <c r="T87" s="576"/>
      <c r="V87" s="5"/>
    </row>
    <row r="88" spans="1:22" ht="94.5" outlineLevel="1" x14ac:dyDescent="0.25">
      <c r="A88" s="270">
        <v>54</v>
      </c>
      <c r="B88" s="262" t="s">
        <v>179</v>
      </c>
      <c r="C88" s="251" t="s">
        <v>173</v>
      </c>
      <c r="D88" s="251" t="s">
        <v>143</v>
      </c>
      <c r="E88" s="251"/>
      <c r="F88" s="251"/>
      <c r="G88" s="251"/>
      <c r="H88" s="251"/>
      <c r="I88" s="251"/>
      <c r="J88" s="251"/>
      <c r="K88" s="271" t="s">
        <v>349</v>
      </c>
      <c r="L88" s="271" t="s">
        <v>180</v>
      </c>
      <c r="M88" s="271" t="s">
        <v>51</v>
      </c>
      <c r="N88" s="64">
        <v>1989000</v>
      </c>
      <c r="O88" s="294">
        <v>1989000</v>
      </c>
      <c r="P88" s="65">
        <v>7.4999999999999997E-3</v>
      </c>
      <c r="Q88" s="294">
        <f>337118.7+33711.86+33711.86</f>
        <v>404542.42</v>
      </c>
      <c r="R88" s="294">
        <f>177150.18+6084.76</f>
        <v>183234.94</v>
      </c>
      <c r="S88" s="273">
        <f t="shared" si="5"/>
        <v>1584457.58</v>
      </c>
      <c r="T88" s="291" t="s">
        <v>76</v>
      </c>
      <c r="V88" s="5"/>
    </row>
    <row r="89" spans="1:22" ht="108" outlineLevel="1" x14ac:dyDescent="0.25">
      <c r="A89" s="270">
        <v>55</v>
      </c>
      <c r="B89" s="262" t="s">
        <v>295</v>
      </c>
      <c r="C89" s="251" t="s">
        <v>296</v>
      </c>
      <c r="D89" s="251" t="s">
        <v>143</v>
      </c>
      <c r="E89" s="251" t="s">
        <v>431</v>
      </c>
      <c r="F89" s="251">
        <v>2190000</v>
      </c>
      <c r="G89" s="251"/>
      <c r="H89" s="251"/>
      <c r="I89" s="251"/>
      <c r="J89" s="251"/>
      <c r="K89" s="251" t="s">
        <v>350</v>
      </c>
      <c r="L89" s="251" t="s">
        <v>297</v>
      </c>
      <c r="M89" s="271" t="s">
        <v>2</v>
      </c>
      <c r="N89" s="64">
        <v>2047212646</v>
      </c>
      <c r="O89" s="267">
        <v>2047212646</v>
      </c>
      <c r="P89" s="65">
        <v>0.02</v>
      </c>
      <c r="Q89" s="294">
        <v>0</v>
      </c>
      <c r="R89" s="294">
        <f>88017538.4+20640391+20640391+20303862+20640391</f>
        <v>170242573.40000001</v>
      </c>
      <c r="S89" s="273">
        <f t="shared" si="5"/>
        <v>2047212646</v>
      </c>
      <c r="T89" s="291" t="s">
        <v>76</v>
      </c>
      <c r="V89" s="5"/>
    </row>
    <row r="90" spans="1:22" ht="256.5" outlineLevel="1" x14ac:dyDescent="0.25">
      <c r="A90" s="260">
        <v>56</v>
      </c>
      <c r="B90" s="262" t="s">
        <v>181</v>
      </c>
      <c r="C90" s="251" t="s">
        <v>182</v>
      </c>
      <c r="D90" s="251" t="s">
        <v>93</v>
      </c>
      <c r="E90" s="251"/>
      <c r="F90" s="251"/>
      <c r="G90" s="251"/>
      <c r="H90" s="251"/>
      <c r="I90" s="251"/>
      <c r="J90" s="251"/>
      <c r="K90" s="251" t="s">
        <v>351</v>
      </c>
      <c r="L90" s="251" t="s">
        <v>183</v>
      </c>
      <c r="M90" s="271" t="s">
        <v>51</v>
      </c>
      <c r="N90" s="64">
        <v>2217000</v>
      </c>
      <c r="O90" s="64">
        <v>2217000</v>
      </c>
      <c r="P90" s="66">
        <v>0.02</v>
      </c>
      <c r="Q90" s="294">
        <f>1656550.78+18166.04+7000680/387.28+18122.86+18122.86+32122.86+28837.1+8000+8000+8000</f>
        <v>1813999.0337740141</v>
      </c>
      <c r="R90" s="294">
        <f>108750.120345235+1633.42+698950/387.28+1809.39+1778.61+1691.44+3308.88+1649.96+1632.88+1515.4</f>
        <v>125574.86692238849</v>
      </c>
      <c r="S90" s="273">
        <f t="shared" si="5"/>
        <v>403000.9662259859</v>
      </c>
      <c r="T90" s="291" t="s">
        <v>184</v>
      </c>
      <c r="V90" s="5"/>
    </row>
    <row r="91" spans="1:22" ht="64.5" customHeight="1" outlineLevel="1" x14ac:dyDescent="0.25">
      <c r="A91" s="270">
        <v>57</v>
      </c>
      <c r="B91" s="277" t="s">
        <v>284</v>
      </c>
      <c r="C91" s="271" t="s">
        <v>285</v>
      </c>
      <c r="D91" s="271" t="s">
        <v>118</v>
      </c>
      <c r="E91" s="271" t="s">
        <v>29</v>
      </c>
      <c r="F91" s="271">
        <v>20000000</v>
      </c>
      <c r="G91" s="271">
        <v>4199559.68</v>
      </c>
      <c r="H91" s="271" t="s">
        <v>288</v>
      </c>
      <c r="I91" s="271"/>
      <c r="J91" s="271"/>
      <c r="K91" s="271" t="s">
        <v>352</v>
      </c>
      <c r="L91" s="251" t="s">
        <v>287</v>
      </c>
      <c r="M91" s="271" t="s">
        <v>29</v>
      </c>
      <c r="N91" s="64">
        <f>4199559.68+12720691.2+1113060.48+1966688.64</f>
        <v>20000000</v>
      </c>
      <c r="O91" s="64">
        <f>N91</f>
        <v>20000000</v>
      </c>
      <c r="P91" s="66" t="s">
        <v>288</v>
      </c>
      <c r="Q91" s="294"/>
      <c r="R91" s="67">
        <f>77849.88+103888.1+413918.01</f>
        <v>595655.99</v>
      </c>
      <c r="S91" s="273">
        <f t="shared" si="5"/>
        <v>20000000</v>
      </c>
      <c r="T91" s="291" t="s">
        <v>289</v>
      </c>
      <c r="V91" s="5"/>
    </row>
    <row r="92" spans="1:22" s="4" customFormat="1" ht="38.25" customHeight="1" outlineLevel="1" x14ac:dyDescent="0.25">
      <c r="A92" s="525">
        <v>58</v>
      </c>
      <c r="B92" s="526" t="s">
        <v>185</v>
      </c>
      <c r="C92" s="522" t="s">
        <v>186</v>
      </c>
      <c r="D92" s="522"/>
      <c r="E92" s="287" t="s">
        <v>51</v>
      </c>
      <c r="F92" s="287"/>
      <c r="G92" s="287"/>
      <c r="H92" s="287"/>
      <c r="I92" s="287"/>
      <c r="J92" s="287"/>
      <c r="K92" s="529" t="s">
        <v>353</v>
      </c>
      <c r="L92" s="531" t="s">
        <v>187</v>
      </c>
      <c r="M92" s="272" t="s">
        <v>51</v>
      </c>
      <c r="N92" s="60">
        <v>237758.39</v>
      </c>
      <c r="O92" s="294">
        <v>237758.39</v>
      </c>
      <c r="P92" s="295"/>
      <c r="Q92" s="294"/>
      <c r="R92" s="294"/>
      <c r="S92" s="60">
        <f t="shared" si="5"/>
        <v>237758.39</v>
      </c>
      <c r="T92" s="573" t="s">
        <v>76</v>
      </c>
      <c r="U92" s="3"/>
      <c r="V92" s="5"/>
    </row>
    <row r="93" spans="1:22" s="4" customFormat="1" ht="45" customHeight="1" outlineLevel="1" x14ac:dyDescent="0.25">
      <c r="A93" s="525"/>
      <c r="B93" s="527"/>
      <c r="C93" s="528"/>
      <c r="D93" s="528"/>
      <c r="E93" s="285"/>
      <c r="F93" s="285"/>
      <c r="G93" s="285"/>
      <c r="H93" s="285"/>
      <c r="I93" s="285"/>
      <c r="J93" s="285"/>
      <c r="K93" s="530"/>
      <c r="L93" s="530"/>
      <c r="M93" s="47" t="s">
        <v>2</v>
      </c>
      <c r="N93" s="68">
        <v>28883700</v>
      </c>
      <c r="O93" s="294">
        <v>28883700</v>
      </c>
      <c r="P93" s="269"/>
      <c r="Q93" s="294"/>
      <c r="R93" s="294"/>
      <c r="S93" s="60">
        <f t="shared" si="5"/>
        <v>28883700</v>
      </c>
      <c r="T93" s="574"/>
      <c r="U93" s="3"/>
      <c r="V93" s="5"/>
    </row>
    <row r="94" spans="1:22" s="2" customFormat="1" ht="40.5" customHeight="1" outlineLevel="1" x14ac:dyDescent="0.25">
      <c r="A94" s="260">
        <v>59</v>
      </c>
      <c r="B94" s="262" t="s">
        <v>111</v>
      </c>
      <c r="C94" s="251" t="s">
        <v>112</v>
      </c>
      <c r="D94" s="251" t="s">
        <v>463</v>
      </c>
      <c r="E94" s="251"/>
      <c r="F94" s="251"/>
      <c r="G94" s="251"/>
      <c r="H94" s="251"/>
      <c r="I94" s="251"/>
      <c r="J94" s="251"/>
      <c r="K94" s="251" t="s">
        <v>354</v>
      </c>
      <c r="L94" s="251" t="s">
        <v>114</v>
      </c>
      <c r="M94" s="251" t="s">
        <v>2</v>
      </c>
      <c r="N94" s="267">
        <v>303444194</v>
      </c>
      <c r="O94" s="267">
        <v>303444194</v>
      </c>
      <c r="P94" s="269">
        <v>0</v>
      </c>
      <c r="Q94" s="267"/>
      <c r="R94" s="267"/>
      <c r="S94" s="282">
        <f t="shared" si="5"/>
        <v>303444194</v>
      </c>
      <c r="T94" s="291" t="s">
        <v>76</v>
      </c>
      <c r="U94" s="1"/>
      <c r="V94" s="5"/>
    </row>
    <row r="95" spans="1:22" ht="51" customHeight="1" x14ac:dyDescent="0.25">
      <c r="A95" s="270">
        <v>60</v>
      </c>
      <c r="B95" s="277" t="s">
        <v>440</v>
      </c>
      <c r="C95" s="271" t="s">
        <v>441</v>
      </c>
      <c r="D95" s="271" t="s">
        <v>463</v>
      </c>
      <c r="E95" s="271"/>
      <c r="F95" s="271"/>
      <c r="G95" s="271"/>
      <c r="H95" s="271"/>
      <c r="I95" s="271"/>
      <c r="J95" s="271"/>
      <c r="K95" s="271" t="s">
        <v>442</v>
      </c>
      <c r="L95" s="271" t="s">
        <v>443</v>
      </c>
      <c r="M95" s="271" t="s">
        <v>2</v>
      </c>
      <c r="N95" s="294">
        <v>1600000000</v>
      </c>
      <c r="O95" s="40">
        <v>1600000000</v>
      </c>
      <c r="P95" s="62">
        <v>0.06</v>
      </c>
      <c r="Q95" s="40">
        <f>16666667+16666667</f>
        <v>33333334</v>
      </c>
      <c r="R95" s="40">
        <f>14728767+7827397</f>
        <v>22556164</v>
      </c>
      <c r="S95" s="60">
        <f t="shared" si="5"/>
        <v>1566666666</v>
      </c>
      <c r="T95" s="204" t="s">
        <v>444</v>
      </c>
      <c r="V95" s="5"/>
    </row>
    <row r="96" spans="1:22" ht="155.25" customHeight="1" x14ac:dyDescent="0.25">
      <c r="A96" s="261">
        <v>61</v>
      </c>
      <c r="B96" s="255" t="s">
        <v>481</v>
      </c>
      <c r="C96" s="271" t="s">
        <v>441</v>
      </c>
      <c r="D96" s="271" t="s">
        <v>463</v>
      </c>
      <c r="E96" s="256"/>
      <c r="F96" s="256"/>
      <c r="G96" s="256"/>
      <c r="H96" s="256"/>
      <c r="I96" s="256"/>
      <c r="J96" s="256"/>
      <c r="K96" s="256"/>
      <c r="L96" s="271" t="s">
        <v>482</v>
      </c>
      <c r="M96" s="271" t="s">
        <v>2</v>
      </c>
      <c r="N96" s="268">
        <v>3500000000</v>
      </c>
      <c r="O96" s="268">
        <v>3500000000</v>
      </c>
      <c r="P96" s="62">
        <v>0.08</v>
      </c>
      <c r="Q96" s="192"/>
      <c r="R96" s="192"/>
      <c r="S96" s="60">
        <f t="shared" si="5"/>
        <v>3500000000</v>
      </c>
      <c r="T96" s="292" t="s">
        <v>483</v>
      </c>
      <c r="V96" s="5"/>
    </row>
    <row r="97" spans="1:22" s="2" customFormat="1" ht="47.25" customHeight="1" outlineLevel="1" x14ac:dyDescent="0.25">
      <c r="A97" s="261">
        <v>62</v>
      </c>
      <c r="B97" s="256" t="s">
        <v>484</v>
      </c>
      <c r="C97" s="256" t="s">
        <v>441</v>
      </c>
      <c r="D97" s="256" t="s">
        <v>463</v>
      </c>
      <c r="E97" s="256"/>
      <c r="F97" s="256"/>
      <c r="G97" s="256"/>
      <c r="H97" s="256"/>
      <c r="I97" s="256"/>
      <c r="J97" s="256"/>
      <c r="K97" s="99" t="s">
        <v>447</v>
      </c>
      <c r="L97" s="256" t="s">
        <v>263</v>
      </c>
      <c r="M97" s="256" t="s">
        <v>2</v>
      </c>
      <c r="N97" s="268">
        <v>2000000000</v>
      </c>
      <c r="O97" s="268">
        <v>2000000000</v>
      </c>
      <c r="P97" s="281">
        <v>1E-4</v>
      </c>
      <c r="Q97" s="268"/>
      <c r="R97" s="268"/>
      <c r="S97" s="284">
        <f t="shared" si="5"/>
        <v>2000000000</v>
      </c>
      <c r="T97" s="292" t="s">
        <v>448</v>
      </c>
      <c r="U97" s="1"/>
      <c r="V97" s="5"/>
    </row>
    <row r="98" spans="1:22" s="2" customFormat="1" ht="47.25" customHeight="1" outlineLevel="1" x14ac:dyDescent="0.25">
      <c r="A98" s="261">
        <v>63</v>
      </c>
      <c r="B98" s="256" t="s">
        <v>188</v>
      </c>
      <c r="C98" s="256" t="s">
        <v>189</v>
      </c>
      <c r="D98" s="256" t="s">
        <v>485</v>
      </c>
      <c r="E98" s="256" t="s">
        <v>51</v>
      </c>
      <c r="F98" s="256"/>
      <c r="G98" s="256"/>
      <c r="H98" s="256"/>
      <c r="I98" s="256"/>
      <c r="J98" s="256"/>
      <c r="K98" s="99" t="s">
        <v>355</v>
      </c>
      <c r="L98" s="256" t="s">
        <v>191</v>
      </c>
      <c r="M98" s="256" t="s">
        <v>51</v>
      </c>
      <c r="N98" s="268">
        <v>10000000</v>
      </c>
      <c r="O98" s="268">
        <v>10000000</v>
      </c>
      <c r="P98" s="281" t="s">
        <v>192</v>
      </c>
      <c r="Q98" s="268">
        <v>2553676.86</v>
      </c>
      <c r="R98" s="268">
        <f>3533579.15874841+18816925/512.41+16022937.4/426.85+37537.63+37130+36723+37538+'[2]15,08,20 գործող'!$I$55+'[2]15,08,20 գործող'!$I$56+121220</f>
        <v>3953063.4704706864</v>
      </c>
      <c r="S98" s="284">
        <f>O98-Q98</f>
        <v>7446323.1400000006</v>
      </c>
      <c r="T98" s="292" t="s">
        <v>193</v>
      </c>
      <c r="U98" s="1"/>
      <c r="V98" s="5"/>
    </row>
    <row r="99" spans="1:22" s="2" customFormat="1" ht="51" customHeight="1" outlineLevel="1" thickBot="1" x14ac:dyDescent="0.3">
      <c r="A99" s="270">
        <v>64</v>
      </c>
      <c r="B99" s="271" t="s">
        <v>188</v>
      </c>
      <c r="C99" s="271" t="s">
        <v>133</v>
      </c>
      <c r="D99" s="271" t="s">
        <v>485</v>
      </c>
      <c r="E99" s="271"/>
      <c r="F99" s="271"/>
      <c r="G99" s="271"/>
      <c r="H99" s="271"/>
      <c r="I99" s="271"/>
      <c r="J99" s="271"/>
      <c r="K99" s="58" t="s">
        <v>356</v>
      </c>
      <c r="L99" s="271" t="s">
        <v>194</v>
      </c>
      <c r="M99" s="271" t="s">
        <v>2</v>
      </c>
      <c r="N99" s="294">
        <v>8000000000</v>
      </c>
      <c r="O99" s="294">
        <v>8000000000</v>
      </c>
      <c r="P99" s="293" t="s">
        <v>195</v>
      </c>
      <c r="Q99" s="294"/>
      <c r="R99" s="294">
        <f>3496438357+79342466+80657534+79342466+79342466+1315069+216021918</f>
        <v>4032460276</v>
      </c>
      <c r="S99" s="273">
        <f>O99-Q99</f>
        <v>8000000000</v>
      </c>
      <c r="T99" s="204" t="s">
        <v>196</v>
      </c>
      <c r="U99" s="1"/>
      <c r="V99" s="5"/>
    </row>
    <row r="100" spans="1:22" s="9" customFormat="1" ht="24.75" customHeight="1" x14ac:dyDescent="0.25">
      <c r="A100" s="496" t="s">
        <v>197</v>
      </c>
      <c r="B100" s="497"/>
      <c r="C100" s="497"/>
      <c r="D100" s="519" t="s">
        <v>29</v>
      </c>
      <c r="E100" s="519"/>
      <c r="F100" s="519"/>
      <c r="G100" s="519"/>
      <c r="H100" s="519"/>
      <c r="I100" s="519"/>
      <c r="J100" s="519"/>
      <c r="K100" s="519"/>
      <c r="L100" s="519"/>
      <c r="M100" s="69"/>
      <c r="N100" s="13">
        <f>SUMIF($M$72:$M$99,D100,$N$72:$N$99)</f>
        <v>41500000</v>
      </c>
      <c r="O100" s="13">
        <f>SUMIF($M$72:$M$99,D100,$O$72:$O$99)</f>
        <v>22503571.57</v>
      </c>
      <c r="P100" s="13"/>
      <c r="Q100" s="13">
        <f>SUMIF($M$72:$M$99,D100,$Q$72:$Q$99)</f>
        <v>29090.971703756208</v>
      </c>
      <c r="R100" s="13">
        <f>SUMIF($M$72:$M$99,D100,$R$72:$R$99)</f>
        <v>779879.60988818214</v>
      </c>
      <c r="S100" s="13">
        <f>SUMIF($M$72:$M$99,D100,$S$72:$S$99)</f>
        <v>22474480.598296244</v>
      </c>
      <c r="T100" s="317"/>
      <c r="U100" s="8"/>
      <c r="V100" s="5"/>
    </row>
    <row r="101" spans="1:22" s="9" customFormat="1" ht="39" customHeight="1" x14ac:dyDescent="0.25">
      <c r="A101" s="485"/>
      <c r="B101" s="486"/>
      <c r="C101" s="486"/>
      <c r="D101" s="503" t="s">
        <v>2</v>
      </c>
      <c r="E101" s="503"/>
      <c r="F101" s="503"/>
      <c r="G101" s="503"/>
      <c r="H101" s="503"/>
      <c r="I101" s="503"/>
      <c r="J101" s="503"/>
      <c r="K101" s="503"/>
      <c r="L101" s="503"/>
      <c r="M101" s="54"/>
      <c r="N101" s="11">
        <f>SUMIF($M$72:$M$99,D101,$N$72:$N$99)</f>
        <v>24040988508.200001</v>
      </c>
      <c r="O101" s="11">
        <f>SUMIF($M$72:$M$99,D101,$O$72:$O$99)</f>
        <v>24167946824</v>
      </c>
      <c r="P101" s="11"/>
      <c r="Q101" s="11">
        <f>SUMIF($M$72:$M$99,D101,$Q$72:$Q$99)</f>
        <v>3576671344.9000001</v>
      </c>
      <c r="R101" s="11">
        <f>SUMIF($M$72:$M$99,D101,$R$72:$R$99)</f>
        <v>4236948781.1799998</v>
      </c>
      <c r="S101" s="11">
        <f>SUMIF($M$72:$M$99,D101,$S$72:$S$99)</f>
        <v>20591275479.099998</v>
      </c>
      <c r="T101" s="318"/>
      <c r="U101" s="8"/>
      <c r="V101" s="5"/>
    </row>
    <row r="102" spans="1:22" s="9" customFormat="1" ht="39" customHeight="1" x14ac:dyDescent="0.25">
      <c r="A102" s="485"/>
      <c r="B102" s="486"/>
      <c r="C102" s="486"/>
      <c r="D102" s="503" t="s">
        <v>51</v>
      </c>
      <c r="E102" s="503"/>
      <c r="F102" s="503"/>
      <c r="G102" s="503"/>
      <c r="H102" s="503"/>
      <c r="I102" s="503"/>
      <c r="J102" s="503"/>
      <c r="K102" s="503"/>
      <c r="L102" s="503"/>
      <c r="M102" s="54"/>
      <c r="N102" s="11">
        <f>SUMIF($M$72:$M$99,D102,$N$72:$N$99)</f>
        <v>32967799.48</v>
      </c>
      <c r="O102" s="11">
        <f>SUMIF($M$72:$M$99,D102,$O$72:$O$99)</f>
        <v>29836961.550000001</v>
      </c>
      <c r="P102" s="11"/>
      <c r="Q102" s="11">
        <f>SUMIF($M$72:$M$99,D102,$Q$72:$Q$99)</f>
        <v>9160564.7137413267</v>
      </c>
      <c r="R102" s="11">
        <f>SUMIF($M$72:$M$99,D102,$R$72:$R$99)</f>
        <v>6166299.107428276</v>
      </c>
      <c r="S102" s="11">
        <f>SUMIF($M$72:$M$99,D102,$S$72:$S$99)</f>
        <v>20676396.836258672</v>
      </c>
      <c r="T102" s="318"/>
      <c r="U102" s="8"/>
      <c r="V102" s="5"/>
    </row>
    <row r="103" spans="1:22" s="9" customFormat="1" ht="39" customHeight="1" thickBot="1" x14ac:dyDescent="0.3">
      <c r="A103" s="506"/>
      <c r="B103" s="507"/>
      <c r="C103" s="507"/>
      <c r="D103" s="520" t="s">
        <v>71</v>
      </c>
      <c r="E103" s="520"/>
      <c r="F103" s="520"/>
      <c r="G103" s="520"/>
      <c r="H103" s="520"/>
      <c r="I103" s="520"/>
      <c r="J103" s="520"/>
      <c r="K103" s="520"/>
      <c r="L103" s="520"/>
      <c r="M103" s="57"/>
      <c r="N103" s="12">
        <f>SUMIF($M$72:$M$99,D103,$N$72:$N$99)</f>
        <v>0</v>
      </c>
      <c r="O103" s="12">
        <f>SUMIF($M$72:$M$99,D103,$O$72:$O$99)</f>
        <v>0</v>
      </c>
      <c r="P103" s="12"/>
      <c r="Q103" s="12">
        <f>SUMIF($M$72:$M$99,D103,$Q$72:$Q$99)</f>
        <v>0</v>
      </c>
      <c r="R103" s="12">
        <f>SUMIF($M$72:$M$99,D103,$R$72:$R$99)</f>
        <v>0</v>
      </c>
      <c r="S103" s="12">
        <f>SUMIF($M$72:$M$99,D103,$S$72:$S$99)</f>
        <v>0</v>
      </c>
      <c r="T103" s="320"/>
      <c r="U103" s="8"/>
      <c r="V103" s="5"/>
    </row>
    <row r="104" spans="1:22" s="4" customFormat="1" ht="156.75" customHeight="1" outlineLevel="1" x14ac:dyDescent="0.25">
      <c r="A104" s="270">
        <v>65</v>
      </c>
      <c r="B104" s="251" t="s">
        <v>0</v>
      </c>
      <c r="C104" s="251" t="s">
        <v>1</v>
      </c>
      <c r="D104" s="251" t="s">
        <v>463</v>
      </c>
      <c r="E104" s="285"/>
      <c r="F104" s="285"/>
      <c r="G104" s="285"/>
      <c r="H104" s="285"/>
      <c r="I104" s="285"/>
      <c r="J104" s="285"/>
      <c r="K104" s="259" t="s">
        <v>357</v>
      </c>
      <c r="L104" s="259" t="s">
        <v>198</v>
      </c>
      <c r="M104" s="271" t="s">
        <v>2</v>
      </c>
      <c r="N104" s="68">
        <f>3047000000+3000000000</f>
        <v>6047000000</v>
      </c>
      <c r="O104" s="40">
        <v>6000000000</v>
      </c>
      <c r="P104" s="269"/>
      <c r="Q104" s="40">
        <f>4439902959+260956717.5+995441267.7+73262192.2+103703140+88648827.6+23704487.9+9999937.1</f>
        <v>5995619529</v>
      </c>
      <c r="R104" s="40"/>
      <c r="S104" s="267">
        <f t="shared" ref="S104:S109" si="6">O104-Q104</f>
        <v>4380471</v>
      </c>
      <c r="T104" s="322" t="s">
        <v>76</v>
      </c>
      <c r="U104" s="3"/>
      <c r="V104" s="5"/>
    </row>
    <row r="105" spans="1:22" s="4" customFormat="1" ht="147" customHeight="1" outlineLevel="1" x14ac:dyDescent="0.25">
      <c r="A105" s="270">
        <v>66</v>
      </c>
      <c r="B105" s="521" t="s">
        <v>0</v>
      </c>
      <c r="C105" s="521" t="s">
        <v>7</v>
      </c>
      <c r="D105" s="251" t="s">
        <v>463</v>
      </c>
      <c r="E105" s="285"/>
      <c r="F105" s="285"/>
      <c r="G105" s="285"/>
      <c r="H105" s="285"/>
      <c r="I105" s="285"/>
      <c r="J105" s="285"/>
      <c r="K105" s="259" t="s">
        <v>488</v>
      </c>
      <c r="L105" s="259" t="s">
        <v>9</v>
      </c>
      <c r="M105" s="271" t="s">
        <v>2</v>
      </c>
      <c r="N105" s="294">
        <v>2000000000</v>
      </c>
      <c r="O105" s="40">
        <v>2000000000</v>
      </c>
      <c r="P105" s="295">
        <v>2.7E-2</v>
      </c>
      <c r="Q105" s="40"/>
      <c r="R105" s="273">
        <f>68417269.8+13462993.2+49643.9+1421840.5+38566246.5+491534.9+1119195.4+178355+29883.2+10588.6+3022.3</f>
        <v>123750573.30000001</v>
      </c>
      <c r="S105" s="273">
        <f t="shared" si="6"/>
        <v>2000000000</v>
      </c>
      <c r="T105" s="322" t="s">
        <v>76</v>
      </c>
      <c r="U105" s="3"/>
      <c r="V105" s="5"/>
    </row>
    <row r="106" spans="1:22" s="4" customFormat="1" ht="144.75" customHeight="1" outlineLevel="1" x14ac:dyDescent="0.25">
      <c r="A106" s="270">
        <v>67</v>
      </c>
      <c r="B106" s="522"/>
      <c r="C106" s="522"/>
      <c r="D106" s="278" t="s">
        <v>463</v>
      </c>
      <c r="E106" s="278"/>
      <c r="F106" s="278"/>
      <c r="G106" s="278"/>
      <c r="H106" s="278"/>
      <c r="I106" s="278"/>
      <c r="J106" s="278"/>
      <c r="K106" s="259" t="s">
        <v>489</v>
      </c>
      <c r="L106" s="259" t="s">
        <v>11</v>
      </c>
      <c r="M106" s="256" t="s">
        <v>2</v>
      </c>
      <c r="N106" s="294">
        <v>2000000000</v>
      </c>
      <c r="O106" s="40">
        <v>2000000000</v>
      </c>
      <c r="P106" s="70">
        <v>5.7000000000000002E-2</v>
      </c>
      <c r="Q106" s="40"/>
      <c r="R106" s="40">
        <f>153819379.6+28421448.8+780809.1+528470.5+2614769.3+283790.1+5159868.8+1406739.9</f>
        <v>193015276.10000002</v>
      </c>
      <c r="S106" s="273">
        <f t="shared" si="6"/>
        <v>2000000000</v>
      </c>
      <c r="T106" s="322" t="s">
        <v>76</v>
      </c>
      <c r="U106" s="3"/>
      <c r="V106" s="5"/>
    </row>
    <row r="107" spans="1:22" s="4" customFormat="1" ht="168" customHeight="1" outlineLevel="1" x14ac:dyDescent="0.25">
      <c r="A107" s="270">
        <v>68</v>
      </c>
      <c r="B107" s="575"/>
      <c r="C107" s="575"/>
      <c r="D107" s="253"/>
      <c r="E107" s="296"/>
      <c r="F107" s="296"/>
      <c r="G107" s="296"/>
      <c r="H107" s="296"/>
      <c r="I107" s="296"/>
      <c r="J107" s="296"/>
      <c r="K107" s="276" t="s">
        <v>490</v>
      </c>
      <c r="L107" s="276" t="s">
        <v>199</v>
      </c>
      <c r="M107" s="256" t="s">
        <v>2</v>
      </c>
      <c r="N107" s="294">
        <v>5000000000</v>
      </c>
      <c r="O107" s="40">
        <v>5000000000</v>
      </c>
      <c r="P107" s="295">
        <v>2.7E-2</v>
      </c>
      <c r="Q107" s="40"/>
      <c r="R107" s="40">
        <f>34209157.5+76580313.4+83507353.3+1840160.7</f>
        <v>196136984.89999998</v>
      </c>
      <c r="S107" s="273">
        <f t="shared" si="6"/>
        <v>5000000000</v>
      </c>
      <c r="T107" s="321" t="s">
        <v>76</v>
      </c>
      <c r="U107" s="3"/>
      <c r="V107" s="5"/>
    </row>
    <row r="108" spans="1:22" s="4" customFormat="1" ht="175.5" outlineLevel="1" x14ac:dyDescent="0.25">
      <c r="A108" s="261">
        <v>69</v>
      </c>
      <c r="B108" s="252" t="s">
        <v>3</v>
      </c>
      <c r="C108" s="252" t="s">
        <v>5</v>
      </c>
      <c r="D108" s="252" t="s">
        <v>463</v>
      </c>
      <c r="E108" s="286"/>
      <c r="F108" s="286"/>
      <c r="G108" s="286"/>
      <c r="H108" s="286"/>
      <c r="I108" s="286"/>
      <c r="J108" s="286"/>
      <c r="K108" s="257" t="s">
        <v>358</v>
      </c>
      <c r="L108" s="257" t="s">
        <v>6</v>
      </c>
      <c r="M108" s="256" t="s">
        <v>2</v>
      </c>
      <c r="N108" s="268">
        <v>562500000</v>
      </c>
      <c r="O108" s="192">
        <v>562500000</v>
      </c>
      <c r="P108" s="70"/>
      <c r="Q108" s="192"/>
      <c r="R108" s="192"/>
      <c r="S108" s="283">
        <f t="shared" si="6"/>
        <v>562500000</v>
      </c>
      <c r="T108" s="323" t="s">
        <v>76</v>
      </c>
      <c r="U108" s="3"/>
      <c r="V108" s="5"/>
    </row>
    <row r="109" spans="1:22" s="4" customFormat="1" ht="108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463</v>
      </c>
      <c r="E109" s="297"/>
      <c r="F109" s="297"/>
      <c r="G109" s="297"/>
      <c r="H109" s="297"/>
      <c r="I109" s="297"/>
      <c r="J109" s="297"/>
      <c r="K109" s="74"/>
      <c r="L109" s="74" t="s">
        <v>369</v>
      </c>
      <c r="M109" s="194" t="s">
        <v>2</v>
      </c>
      <c r="N109" s="75">
        <f>2000000000+7300000000</f>
        <v>9300000000</v>
      </c>
      <c r="O109" s="76">
        <f>9024295000</f>
        <v>9024295000</v>
      </c>
      <c r="P109" s="77"/>
      <c r="Q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</f>
        <v>8813419021.8000069</v>
      </c>
      <c r="R109" s="76">
        <f>34040214.6+16030636.8+1797857.1+7375602.5+3983531.1+11814600.3+22459610.6+9668538.8+11671711.4+6908264.6+1329981.6</f>
        <v>127080549.39999999</v>
      </c>
      <c r="S109" s="78">
        <f t="shared" si="6"/>
        <v>210875978.19999313</v>
      </c>
      <c r="T109" s="324" t="s">
        <v>76</v>
      </c>
      <c r="U109" s="3"/>
      <c r="V109" s="5"/>
    </row>
    <row r="110" spans="1:22" s="9" customFormat="1" ht="30" customHeight="1" x14ac:dyDescent="0.25">
      <c r="A110" s="483" t="s">
        <v>200</v>
      </c>
      <c r="B110" s="484"/>
      <c r="C110" s="484"/>
      <c r="D110" s="508" t="s">
        <v>29</v>
      </c>
      <c r="E110" s="509"/>
      <c r="F110" s="509"/>
      <c r="G110" s="509"/>
      <c r="H110" s="509"/>
      <c r="I110" s="509"/>
      <c r="J110" s="509"/>
      <c r="K110" s="509"/>
      <c r="L110" s="501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325"/>
      <c r="U110" s="3"/>
      <c r="V110" s="5"/>
    </row>
    <row r="111" spans="1:22" s="9" customFormat="1" ht="27" customHeight="1" x14ac:dyDescent="0.25">
      <c r="A111" s="485"/>
      <c r="B111" s="486"/>
      <c r="C111" s="486"/>
      <c r="D111" s="492" t="s">
        <v>2</v>
      </c>
      <c r="E111" s="481"/>
      <c r="F111" s="481"/>
      <c r="G111" s="481"/>
      <c r="H111" s="481"/>
      <c r="I111" s="481"/>
      <c r="J111" s="481"/>
      <c r="K111" s="481"/>
      <c r="L111" s="482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14809038550.800007</v>
      </c>
      <c r="R111" s="11">
        <f>SUMIF($M$104:$M$109,D111,$R$104:$R$109)</f>
        <v>639983383.70000005</v>
      </c>
      <c r="S111" s="11">
        <f>SUMIF($M$104:$M$109,D111,$S$104:$S$109)</f>
        <v>9777756449.1999931</v>
      </c>
      <c r="T111" s="318"/>
      <c r="U111" s="3"/>
      <c r="V111" s="5"/>
    </row>
    <row r="112" spans="1:22" s="9" customFormat="1" ht="28.5" customHeight="1" x14ac:dyDescent="0.25">
      <c r="A112" s="485"/>
      <c r="B112" s="486"/>
      <c r="C112" s="486"/>
      <c r="D112" s="492" t="s">
        <v>51</v>
      </c>
      <c r="E112" s="481"/>
      <c r="F112" s="481"/>
      <c r="G112" s="481"/>
      <c r="H112" s="481"/>
      <c r="I112" s="481"/>
      <c r="J112" s="481"/>
      <c r="K112" s="481"/>
      <c r="L112" s="482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318"/>
      <c r="U112" s="8"/>
      <c r="V112" s="5"/>
    </row>
    <row r="113" spans="1:22" s="9" customFormat="1" ht="30" customHeight="1" thickBot="1" x14ac:dyDescent="0.3">
      <c r="A113" s="506"/>
      <c r="B113" s="507"/>
      <c r="C113" s="507"/>
      <c r="D113" s="493" t="s">
        <v>71</v>
      </c>
      <c r="E113" s="494"/>
      <c r="F113" s="494"/>
      <c r="G113" s="494"/>
      <c r="H113" s="494"/>
      <c r="I113" s="494"/>
      <c r="J113" s="494"/>
      <c r="K113" s="494"/>
      <c r="L113" s="495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320"/>
      <c r="U113" s="8"/>
      <c r="V113" s="5"/>
    </row>
    <row r="114" spans="1:22" s="4" customFormat="1" ht="121.5" outlineLevel="1" x14ac:dyDescent="0.25">
      <c r="A114" s="261">
        <v>71</v>
      </c>
      <c r="B114" s="254" t="s">
        <v>201</v>
      </c>
      <c r="C114" s="254" t="s">
        <v>202</v>
      </c>
      <c r="D114" s="251" t="s">
        <v>463</v>
      </c>
      <c r="E114" s="285"/>
      <c r="F114" s="285"/>
      <c r="G114" s="285"/>
      <c r="H114" s="285"/>
      <c r="I114" s="285"/>
      <c r="J114" s="285"/>
      <c r="K114" s="259" t="s">
        <v>359</v>
      </c>
      <c r="L114" s="259" t="s">
        <v>203</v>
      </c>
      <c r="M114" s="271" t="s">
        <v>2</v>
      </c>
      <c r="N114" s="79">
        <v>574491741</v>
      </c>
      <c r="O114" s="79">
        <v>574491741</v>
      </c>
      <c r="P114" s="280">
        <v>1E-4</v>
      </c>
      <c r="Q114" s="79">
        <f>132575017.2</f>
        <v>132575017.2</v>
      </c>
      <c r="R114" s="79">
        <f>85623+14165+39966.7</f>
        <v>139754.70000000001</v>
      </c>
      <c r="S114" s="283">
        <f t="shared" ref="S114:S126" si="7">O114-Q114</f>
        <v>441916723.80000001</v>
      </c>
      <c r="T114" s="323" t="s">
        <v>204</v>
      </c>
      <c r="U114" s="3"/>
      <c r="V114" s="5"/>
    </row>
    <row r="115" spans="1:22" s="4" customFormat="1" ht="121.5" outlineLevel="1" x14ac:dyDescent="0.25">
      <c r="A115" s="270">
        <v>72</v>
      </c>
      <c r="B115" s="262" t="s">
        <v>205</v>
      </c>
      <c r="C115" s="262" t="s">
        <v>202</v>
      </c>
      <c r="D115" s="251" t="s">
        <v>463</v>
      </c>
      <c r="E115" s="285"/>
      <c r="F115" s="285"/>
      <c r="G115" s="285"/>
      <c r="H115" s="285"/>
      <c r="I115" s="285"/>
      <c r="J115" s="285"/>
      <c r="K115" s="259" t="s">
        <v>360</v>
      </c>
      <c r="L115" s="259" t="s">
        <v>206</v>
      </c>
      <c r="M115" s="271" t="s">
        <v>2</v>
      </c>
      <c r="N115" s="68">
        <v>98612371</v>
      </c>
      <c r="O115" s="60">
        <v>98612371</v>
      </c>
      <c r="P115" s="264">
        <v>1E-4</v>
      </c>
      <c r="Q115" s="60"/>
      <c r="R115" s="60">
        <v>17060</v>
      </c>
      <c r="S115" s="282">
        <f t="shared" si="7"/>
        <v>98612371</v>
      </c>
      <c r="T115" s="322" t="s">
        <v>207</v>
      </c>
      <c r="U115" s="3"/>
      <c r="V115" s="5"/>
    </row>
    <row r="116" spans="1:22" s="4" customFormat="1" ht="121.5" outlineLevel="1" x14ac:dyDescent="0.25">
      <c r="A116" s="270">
        <v>73</v>
      </c>
      <c r="B116" s="262" t="s">
        <v>208</v>
      </c>
      <c r="C116" s="262" t="s">
        <v>202</v>
      </c>
      <c r="D116" s="251" t="s">
        <v>463</v>
      </c>
      <c r="E116" s="285"/>
      <c r="F116" s="285"/>
      <c r="G116" s="285"/>
      <c r="H116" s="285"/>
      <c r="I116" s="285"/>
      <c r="J116" s="285"/>
      <c r="K116" s="259" t="s">
        <v>361</v>
      </c>
      <c r="L116" s="259" t="s">
        <v>209</v>
      </c>
      <c r="M116" s="271" t="s">
        <v>2</v>
      </c>
      <c r="N116" s="68">
        <v>60132468</v>
      </c>
      <c r="O116" s="60">
        <v>60132468</v>
      </c>
      <c r="P116" s="264">
        <v>1E-4</v>
      </c>
      <c r="Q116" s="60">
        <f>4625574.5+4625574.5+4625574.5+4625574.5+4625575+4625575+4625575+4625575</f>
        <v>37004598</v>
      </c>
      <c r="R116" s="60">
        <f>10367+1511.2+1400+1500+1500+1000+20000+1000</f>
        <v>38278.199999999997</v>
      </c>
      <c r="S116" s="282">
        <f t="shared" si="7"/>
        <v>23127870</v>
      </c>
      <c r="T116" s="322" t="s">
        <v>210</v>
      </c>
      <c r="U116" s="15"/>
      <c r="V116" s="5"/>
    </row>
    <row r="117" spans="1:22" s="4" customFormat="1" ht="121.5" outlineLevel="1" x14ac:dyDescent="0.25">
      <c r="A117" s="270">
        <v>74</v>
      </c>
      <c r="B117" s="262" t="s">
        <v>211</v>
      </c>
      <c r="C117" s="262" t="s">
        <v>202</v>
      </c>
      <c r="D117" s="251" t="s">
        <v>463</v>
      </c>
      <c r="E117" s="285"/>
      <c r="F117" s="285"/>
      <c r="G117" s="285"/>
      <c r="H117" s="285"/>
      <c r="I117" s="285"/>
      <c r="J117" s="285"/>
      <c r="K117" s="259" t="s">
        <v>362</v>
      </c>
      <c r="L117" s="259" t="s">
        <v>212</v>
      </c>
      <c r="M117" s="271" t="s">
        <v>2</v>
      </c>
      <c r="N117" s="294">
        <f>9500000+12453199</f>
        <v>21953199</v>
      </c>
      <c r="O117" s="60">
        <f>9500000+12453199</f>
        <v>21953199</v>
      </c>
      <c r="P117" s="264">
        <v>1E-4</v>
      </c>
      <c r="Q117" s="60"/>
      <c r="R117" s="60">
        <v>3720</v>
      </c>
      <c r="S117" s="282">
        <f t="shared" si="7"/>
        <v>21953199</v>
      </c>
      <c r="T117" s="322" t="s">
        <v>213</v>
      </c>
      <c r="U117" s="15"/>
      <c r="V117" s="5"/>
    </row>
    <row r="118" spans="1:22" s="4" customFormat="1" ht="129.75" customHeight="1" outlineLevel="1" x14ac:dyDescent="0.25">
      <c r="A118" s="270">
        <v>75</v>
      </c>
      <c r="B118" s="262" t="s">
        <v>214</v>
      </c>
      <c r="C118" s="262" t="s">
        <v>202</v>
      </c>
      <c r="D118" s="251" t="s">
        <v>463</v>
      </c>
      <c r="E118" s="285"/>
      <c r="F118" s="285"/>
      <c r="G118" s="285"/>
      <c r="H118" s="285"/>
      <c r="I118" s="285"/>
      <c r="J118" s="285"/>
      <c r="K118" s="259" t="s">
        <v>362</v>
      </c>
      <c r="L118" s="259" t="s">
        <v>215</v>
      </c>
      <c r="M118" s="271" t="s">
        <v>2</v>
      </c>
      <c r="N118" s="68">
        <v>15801400</v>
      </c>
      <c r="O118" s="60">
        <v>15801400</v>
      </c>
      <c r="P118" s="264">
        <v>1E-4</v>
      </c>
      <c r="Q118" s="60"/>
      <c r="R118" s="60">
        <v>3500</v>
      </c>
      <c r="S118" s="282">
        <f t="shared" si="7"/>
        <v>15801400</v>
      </c>
      <c r="T118" s="322" t="s">
        <v>216</v>
      </c>
      <c r="U118" s="15"/>
      <c r="V118" s="5"/>
    </row>
    <row r="119" spans="1:22" s="4" customFormat="1" ht="129.75" customHeight="1" outlineLevel="1" x14ac:dyDescent="0.25">
      <c r="A119" s="270">
        <v>76</v>
      </c>
      <c r="B119" s="262" t="s">
        <v>217</v>
      </c>
      <c r="C119" s="262" t="s">
        <v>202</v>
      </c>
      <c r="D119" s="251" t="s">
        <v>463</v>
      </c>
      <c r="E119" s="285"/>
      <c r="F119" s="285"/>
      <c r="G119" s="285"/>
      <c r="H119" s="285"/>
      <c r="I119" s="285"/>
      <c r="J119" s="285"/>
      <c r="K119" s="259" t="s">
        <v>362</v>
      </c>
      <c r="L119" s="259" t="s">
        <v>215</v>
      </c>
      <c r="M119" s="271" t="s">
        <v>2</v>
      </c>
      <c r="N119" s="68">
        <v>2554000</v>
      </c>
      <c r="O119" s="60">
        <v>2554000</v>
      </c>
      <c r="P119" s="264">
        <v>1E-4</v>
      </c>
      <c r="Q119" s="60"/>
      <c r="R119" s="60">
        <f>500</f>
        <v>500</v>
      </c>
      <c r="S119" s="282">
        <f t="shared" si="7"/>
        <v>2554000</v>
      </c>
      <c r="T119" s="322" t="s">
        <v>218</v>
      </c>
      <c r="U119" s="15"/>
      <c r="V119" s="5"/>
    </row>
    <row r="120" spans="1:22" s="4" customFormat="1" ht="129.75" customHeight="1" outlineLevel="1" x14ac:dyDescent="0.25">
      <c r="A120" s="270">
        <v>77</v>
      </c>
      <c r="B120" s="262" t="s">
        <v>219</v>
      </c>
      <c r="C120" s="262" t="s">
        <v>202</v>
      </c>
      <c r="D120" s="251" t="s">
        <v>463</v>
      </c>
      <c r="E120" s="285"/>
      <c r="F120" s="285"/>
      <c r="G120" s="285"/>
      <c r="H120" s="285"/>
      <c r="I120" s="285"/>
      <c r="J120" s="285"/>
      <c r="K120" s="259" t="s">
        <v>362</v>
      </c>
      <c r="L120" s="259" t="s">
        <v>220</v>
      </c>
      <c r="M120" s="271" t="s">
        <v>2</v>
      </c>
      <c r="N120" s="68">
        <v>29053320</v>
      </c>
      <c r="O120" s="60">
        <v>29053320</v>
      </c>
      <c r="P120" s="264">
        <v>1E-4</v>
      </c>
      <c r="Q120" s="60"/>
      <c r="R120" s="60">
        <f>2000+3000</f>
        <v>5000</v>
      </c>
      <c r="S120" s="282">
        <f t="shared" si="7"/>
        <v>29053320</v>
      </c>
      <c r="T120" s="322" t="s">
        <v>221</v>
      </c>
      <c r="U120" s="15"/>
      <c r="V120" s="5"/>
    </row>
    <row r="121" spans="1:22" s="4" customFormat="1" ht="129.75" customHeight="1" outlineLevel="1" x14ac:dyDescent="0.25">
      <c r="A121" s="270">
        <v>78</v>
      </c>
      <c r="B121" s="262" t="s">
        <v>222</v>
      </c>
      <c r="C121" s="262" t="s">
        <v>202</v>
      </c>
      <c r="D121" s="251" t="s">
        <v>463</v>
      </c>
      <c r="E121" s="285"/>
      <c r="F121" s="285"/>
      <c r="G121" s="285"/>
      <c r="H121" s="285"/>
      <c r="I121" s="285"/>
      <c r="J121" s="285"/>
      <c r="K121" s="259" t="s">
        <v>362</v>
      </c>
      <c r="L121" s="259" t="s">
        <v>223</v>
      </c>
      <c r="M121" s="271" t="s">
        <v>2</v>
      </c>
      <c r="N121" s="68">
        <v>192064443</v>
      </c>
      <c r="O121" s="60">
        <f>95000000+97064443</f>
        <v>192064443</v>
      </c>
      <c r="P121" s="264">
        <v>1E-4</v>
      </c>
      <c r="Q121" s="60">
        <f>65000000+20000000</f>
        <v>85000000</v>
      </c>
      <c r="R121" s="60">
        <f>16100+12200+23933</f>
        <v>52233</v>
      </c>
      <c r="S121" s="282">
        <f t="shared" si="7"/>
        <v>107064443</v>
      </c>
      <c r="T121" s="322" t="s">
        <v>224</v>
      </c>
      <c r="U121" s="15"/>
      <c r="V121" s="5"/>
    </row>
    <row r="122" spans="1:22" s="4" customFormat="1" ht="129.75" customHeight="1" outlineLevel="1" x14ac:dyDescent="0.25">
      <c r="A122" s="270">
        <v>79</v>
      </c>
      <c r="B122" s="262" t="s">
        <v>226</v>
      </c>
      <c r="C122" s="262" t="s">
        <v>202</v>
      </c>
      <c r="D122" s="251" t="s">
        <v>463</v>
      </c>
      <c r="E122" s="285"/>
      <c r="F122" s="285"/>
      <c r="G122" s="285"/>
      <c r="H122" s="285"/>
      <c r="I122" s="285"/>
      <c r="J122" s="285"/>
      <c r="K122" s="259" t="s">
        <v>362</v>
      </c>
      <c r="L122" s="259" t="s">
        <v>225</v>
      </c>
      <c r="M122" s="271" t="s">
        <v>2</v>
      </c>
      <c r="N122" s="68">
        <v>3469534</v>
      </c>
      <c r="O122" s="60">
        <v>3469534</v>
      </c>
      <c r="P122" s="264">
        <v>1E-4</v>
      </c>
      <c r="Q122" s="60">
        <v>266887</v>
      </c>
      <c r="R122" s="60">
        <f>600+86</f>
        <v>686</v>
      </c>
      <c r="S122" s="282">
        <f t="shared" si="7"/>
        <v>3202647</v>
      </c>
      <c r="T122" s="322" t="s">
        <v>227</v>
      </c>
      <c r="U122" s="15"/>
      <c r="V122" s="5"/>
    </row>
    <row r="123" spans="1:22" s="4" customFormat="1" ht="129.75" customHeight="1" outlineLevel="1" x14ac:dyDescent="0.25">
      <c r="A123" s="270">
        <v>80</v>
      </c>
      <c r="B123" s="262" t="s">
        <v>228</v>
      </c>
      <c r="C123" s="262" t="s">
        <v>202</v>
      </c>
      <c r="D123" s="251" t="s">
        <v>463</v>
      </c>
      <c r="E123" s="285"/>
      <c r="F123" s="285"/>
      <c r="G123" s="285"/>
      <c r="H123" s="285"/>
      <c r="I123" s="285"/>
      <c r="J123" s="285"/>
      <c r="K123" s="259" t="s">
        <v>362</v>
      </c>
      <c r="L123" s="259" t="s">
        <v>229</v>
      </c>
      <c r="M123" s="271" t="s">
        <v>2</v>
      </c>
      <c r="N123" s="68">
        <v>11781702</v>
      </c>
      <c r="O123" s="60">
        <v>11781702</v>
      </c>
      <c r="P123" s="264">
        <v>1E-4</v>
      </c>
      <c r="Q123" s="60">
        <f>906285+906285+906285+906285+906285+906285+906285+906285</f>
        <v>7250280</v>
      </c>
      <c r="R123" s="60">
        <f>3000+1500+1500</f>
        <v>6000</v>
      </c>
      <c r="S123" s="282">
        <f t="shared" si="7"/>
        <v>4531422</v>
      </c>
      <c r="T123" s="322" t="s">
        <v>230</v>
      </c>
      <c r="U123" s="15"/>
      <c r="V123" s="5"/>
    </row>
    <row r="124" spans="1:22" s="4" customFormat="1" ht="129.75" customHeight="1" outlineLevel="1" x14ac:dyDescent="0.25">
      <c r="A124" s="270">
        <v>81</v>
      </c>
      <c r="B124" s="262" t="s">
        <v>231</v>
      </c>
      <c r="C124" s="262" t="s">
        <v>202</v>
      </c>
      <c r="D124" s="251" t="s">
        <v>463</v>
      </c>
      <c r="E124" s="285"/>
      <c r="F124" s="285"/>
      <c r="G124" s="285"/>
      <c r="H124" s="285"/>
      <c r="I124" s="285"/>
      <c r="J124" s="285"/>
      <c r="K124" s="259" t="s">
        <v>362</v>
      </c>
      <c r="L124" s="259" t="s">
        <v>232</v>
      </c>
      <c r="M124" s="271" t="s">
        <v>2</v>
      </c>
      <c r="N124" s="68">
        <f>112000000+16200000</f>
        <v>128200000</v>
      </c>
      <c r="O124" s="60">
        <f>112000000+16200000</f>
        <v>128200000</v>
      </c>
      <c r="P124" s="264">
        <v>1E-4</v>
      </c>
      <c r="Q124" s="60">
        <f>3000000+3000000+4000000</f>
        <v>10000000</v>
      </c>
      <c r="R124" s="60">
        <f>25640+12820</f>
        <v>38460</v>
      </c>
      <c r="S124" s="282">
        <f t="shared" si="7"/>
        <v>118200000</v>
      </c>
      <c r="T124" s="322" t="s">
        <v>233</v>
      </c>
      <c r="U124" s="15"/>
      <c r="V124" s="5"/>
    </row>
    <row r="125" spans="1:22" s="4" customFormat="1" ht="129.75" customHeight="1" outlineLevel="1" x14ac:dyDescent="0.25">
      <c r="A125" s="270">
        <v>82</v>
      </c>
      <c r="B125" s="262" t="s">
        <v>234</v>
      </c>
      <c r="C125" s="262" t="s">
        <v>202</v>
      </c>
      <c r="D125" s="251" t="s">
        <v>463</v>
      </c>
      <c r="E125" s="285"/>
      <c r="F125" s="285"/>
      <c r="G125" s="285"/>
      <c r="H125" s="285"/>
      <c r="I125" s="285"/>
      <c r="J125" s="285"/>
      <c r="K125" s="259" t="s">
        <v>362</v>
      </c>
      <c r="L125" s="259" t="s">
        <v>235</v>
      </c>
      <c r="M125" s="271" t="s">
        <v>2</v>
      </c>
      <c r="N125" s="68">
        <v>26127500</v>
      </c>
      <c r="O125" s="60">
        <v>26127500</v>
      </c>
      <c r="P125" s="264">
        <v>1E-4</v>
      </c>
      <c r="Q125" s="60"/>
      <c r="R125" s="60">
        <f>4530</f>
        <v>4530</v>
      </c>
      <c r="S125" s="282">
        <f t="shared" si="7"/>
        <v>26127500</v>
      </c>
      <c r="T125" s="322" t="s">
        <v>236</v>
      </c>
      <c r="U125" s="15"/>
      <c r="V125" s="5"/>
    </row>
    <row r="126" spans="1:22" s="4" customFormat="1" ht="129.75" customHeight="1" outlineLevel="1" x14ac:dyDescent="0.25">
      <c r="A126" s="270">
        <v>83</v>
      </c>
      <c r="B126" s="262" t="s">
        <v>237</v>
      </c>
      <c r="C126" s="262" t="s">
        <v>202</v>
      </c>
      <c r="D126" s="251" t="s">
        <v>463</v>
      </c>
      <c r="E126" s="285"/>
      <c r="F126" s="285"/>
      <c r="G126" s="285"/>
      <c r="H126" s="285"/>
      <c r="I126" s="285"/>
      <c r="J126" s="285"/>
      <c r="K126" s="259" t="s">
        <v>362</v>
      </c>
      <c r="L126" s="259" t="s">
        <v>238</v>
      </c>
      <c r="M126" s="271" t="s">
        <v>2</v>
      </c>
      <c r="N126" s="68">
        <v>19297200</v>
      </c>
      <c r="O126" s="60">
        <f>10800000+3440000+1440000+3617200</f>
        <v>19297200</v>
      </c>
      <c r="P126" s="264">
        <v>1E-4</v>
      </c>
      <c r="Q126" s="60"/>
      <c r="R126" s="60">
        <f>3000</f>
        <v>3000</v>
      </c>
      <c r="S126" s="282">
        <f t="shared" si="7"/>
        <v>19297200</v>
      </c>
      <c r="T126" s="322" t="s">
        <v>239</v>
      </c>
      <c r="U126" s="15"/>
      <c r="V126" s="5"/>
    </row>
    <row r="127" spans="1:22" s="4" customFormat="1" ht="129.75" customHeight="1" outlineLevel="1" x14ac:dyDescent="0.25">
      <c r="A127" s="270">
        <v>84</v>
      </c>
      <c r="B127" s="262" t="s">
        <v>240</v>
      </c>
      <c r="C127" s="262" t="s">
        <v>202</v>
      </c>
      <c r="D127" s="251" t="s">
        <v>463</v>
      </c>
      <c r="E127" s="285"/>
      <c r="F127" s="285"/>
      <c r="G127" s="285"/>
      <c r="H127" s="285"/>
      <c r="I127" s="285"/>
      <c r="J127" s="285"/>
      <c r="K127" s="259" t="s">
        <v>362</v>
      </c>
      <c r="L127" s="259" t="s">
        <v>225</v>
      </c>
      <c r="M127" s="271" t="s">
        <v>2</v>
      </c>
      <c r="N127" s="68">
        <v>2164000</v>
      </c>
      <c r="O127" s="60">
        <v>2164000</v>
      </c>
      <c r="P127" s="264">
        <v>1E-4</v>
      </c>
      <c r="Q127" s="60">
        <f>166462+166462+165000+167000+166500+166500+67000</f>
        <v>1064924</v>
      </c>
      <c r="R127" s="60">
        <f>370+54.8+100+100+500</f>
        <v>1124.8</v>
      </c>
      <c r="S127" s="282">
        <f>O127-R127</f>
        <v>2162875.2000000002</v>
      </c>
      <c r="T127" s="322" t="s">
        <v>241</v>
      </c>
      <c r="U127" s="15"/>
      <c r="V127" s="5"/>
    </row>
    <row r="128" spans="1:22" s="4" customFormat="1" ht="129.75" customHeight="1" outlineLevel="1" x14ac:dyDescent="0.25">
      <c r="A128" s="270">
        <v>85</v>
      </c>
      <c r="B128" s="262" t="s">
        <v>242</v>
      </c>
      <c r="C128" s="262" t="s">
        <v>202</v>
      </c>
      <c r="D128" s="251" t="s">
        <v>463</v>
      </c>
      <c r="E128" s="262"/>
      <c r="F128" s="262"/>
      <c r="G128" s="262"/>
      <c r="H128" s="262"/>
      <c r="I128" s="262"/>
      <c r="J128" s="262"/>
      <c r="K128" s="259" t="s">
        <v>362</v>
      </c>
      <c r="L128" s="259" t="s">
        <v>243</v>
      </c>
      <c r="M128" s="271" t="s">
        <v>2</v>
      </c>
      <c r="N128" s="68">
        <v>253504102</v>
      </c>
      <c r="O128" s="60">
        <v>253504102</v>
      </c>
      <c r="P128" s="264">
        <v>1E-4</v>
      </c>
      <c r="Q128" s="60">
        <f>19500316+19500316+19500315+19500315+19500315+19500315+19500316</f>
        <v>136502208</v>
      </c>
      <c r="R128" s="60">
        <f>5973+6390+6181+6389+6181.4+6390+6390+6390+6389+5407+7015+5059.2+9482.9</f>
        <v>83637.499999999985</v>
      </c>
      <c r="S128" s="282">
        <f t="shared" ref="S128:S134" si="8">O128-Q128</f>
        <v>117001894</v>
      </c>
      <c r="T128" s="322" t="s">
        <v>244</v>
      </c>
      <c r="U128" s="15"/>
      <c r="V128" s="5"/>
    </row>
    <row r="129" spans="1:22" s="4" customFormat="1" ht="129.75" customHeight="1" outlineLevel="1" x14ac:dyDescent="0.25">
      <c r="A129" s="270">
        <v>86</v>
      </c>
      <c r="B129" s="262" t="s">
        <v>245</v>
      </c>
      <c r="C129" s="262" t="s">
        <v>202</v>
      </c>
      <c r="D129" s="251" t="s">
        <v>463</v>
      </c>
      <c r="E129" s="285"/>
      <c r="F129" s="285"/>
      <c r="G129" s="285"/>
      <c r="H129" s="285"/>
      <c r="I129" s="285"/>
      <c r="J129" s="285"/>
      <c r="K129" s="259" t="s">
        <v>362</v>
      </c>
      <c r="L129" s="259" t="s">
        <v>243</v>
      </c>
      <c r="M129" s="271" t="s">
        <v>2</v>
      </c>
      <c r="N129" s="68">
        <v>76200000</v>
      </c>
      <c r="O129" s="60">
        <v>76200000</v>
      </c>
      <c r="P129" s="264">
        <v>1E-4</v>
      </c>
      <c r="Q129" s="60"/>
      <c r="R129" s="60">
        <f>7620+5520</f>
        <v>13140</v>
      </c>
      <c r="S129" s="282">
        <f t="shared" si="8"/>
        <v>76200000</v>
      </c>
      <c r="T129" s="322" t="s">
        <v>246</v>
      </c>
      <c r="U129" s="15"/>
      <c r="V129" s="5"/>
    </row>
    <row r="130" spans="1:22" s="4" customFormat="1" ht="121.5" outlineLevel="1" x14ac:dyDescent="0.25">
      <c r="A130" s="270">
        <v>87</v>
      </c>
      <c r="B130" s="262" t="s">
        <v>247</v>
      </c>
      <c r="C130" s="262" t="s">
        <v>202</v>
      </c>
      <c r="D130" s="251" t="s">
        <v>463</v>
      </c>
      <c r="E130" s="285"/>
      <c r="F130" s="285"/>
      <c r="G130" s="285"/>
      <c r="H130" s="285"/>
      <c r="I130" s="285"/>
      <c r="J130" s="285"/>
      <c r="K130" s="259" t="s">
        <v>362</v>
      </c>
      <c r="L130" s="259" t="s">
        <v>248</v>
      </c>
      <c r="M130" s="271" t="s">
        <v>2</v>
      </c>
      <c r="N130" s="68">
        <v>50613970</v>
      </c>
      <c r="O130" s="60">
        <v>50613970</v>
      </c>
      <c r="P130" s="264">
        <v>1E-4</v>
      </c>
      <c r="Q130" s="60"/>
      <c r="R130" s="60">
        <f>8800+8800</f>
        <v>17600</v>
      </c>
      <c r="S130" s="282">
        <f t="shared" si="8"/>
        <v>50613970</v>
      </c>
      <c r="T130" s="322" t="s">
        <v>249</v>
      </c>
      <c r="U130" s="15"/>
      <c r="V130" s="5"/>
    </row>
    <row r="131" spans="1:22" s="4" customFormat="1" ht="121.5" outlineLevel="1" x14ac:dyDescent="0.25">
      <c r="A131" s="270">
        <v>88</v>
      </c>
      <c r="B131" s="262" t="s">
        <v>250</v>
      </c>
      <c r="C131" s="262" t="s">
        <v>202</v>
      </c>
      <c r="D131" s="251" t="s">
        <v>463</v>
      </c>
      <c r="E131" s="285"/>
      <c r="F131" s="285"/>
      <c r="G131" s="285"/>
      <c r="H131" s="285"/>
      <c r="I131" s="285"/>
      <c r="J131" s="285"/>
      <c r="K131" s="259" t="s">
        <v>362</v>
      </c>
      <c r="L131" s="259" t="s">
        <v>251</v>
      </c>
      <c r="M131" s="271" t="s">
        <v>2</v>
      </c>
      <c r="N131" s="68">
        <v>184740000</v>
      </c>
      <c r="O131" s="60">
        <v>184740000</v>
      </c>
      <c r="P131" s="264">
        <v>1E-4</v>
      </c>
      <c r="Q131" s="60"/>
      <c r="R131" s="60">
        <f>31700</f>
        <v>31700</v>
      </c>
      <c r="S131" s="282">
        <f t="shared" si="8"/>
        <v>184740000</v>
      </c>
      <c r="T131" s="322" t="s">
        <v>252</v>
      </c>
      <c r="U131" s="15"/>
      <c r="V131" s="5"/>
    </row>
    <row r="132" spans="1:22" s="4" customFormat="1" ht="121.5" outlineLevel="1" x14ac:dyDescent="0.25">
      <c r="A132" s="270">
        <v>89</v>
      </c>
      <c r="B132" s="262" t="s">
        <v>253</v>
      </c>
      <c r="C132" s="262" t="s">
        <v>202</v>
      </c>
      <c r="D132" s="251" t="s">
        <v>463</v>
      </c>
      <c r="E132" s="285"/>
      <c r="F132" s="285"/>
      <c r="G132" s="285"/>
      <c r="H132" s="285"/>
      <c r="I132" s="285"/>
      <c r="J132" s="285"/>
      <c r="K132" s="259" t="s">
        <v>362</v>
      </c>
      <c r="L132" s="259" t="s">
        <v>254</v>
      </c>
      <c r="M132" s="271" t="s">
        <v>2</v>
      </c>
      <c r="N132" s="68">
        <v>219559596</v>
      </c>
      <c r="O132" s="60">
        <v>219559596</v>
      </c>
      <c r="P132" s="264">
        <v>1E-4</v>
      </c>
      <c r="Q132" s="60">
        <f>16889200+16889200+185781196</f>
        <v>219559596</v>
      </c>
      <c r="R132" s="60">
        <f>5294+5294+27550+5533+1000</f>
        <v>44671</v>
      </c>
      <c r="S132" s="282">
        <f t="shared" si="8"/>
        <v>0</v>
      </c>
      <c r="T132" s="322" t="s">
        <v>438</v>
      </c>
      <c r="U132" s="15"/>
      <c r="V132" s="5"/>
    </row>
    <row r="133" spans="1:22" s="4" customFormat="1" ht="121.5" outlineLevel="1" x14ac:dyDescent="0.25">
      <c r="A133" s="270">
        <v>90</v>
      </c>
      <c r="B133" s="262" t="s">
        <v>255</v>
      </c>
      <c r="C133" s="262" t="s">
        <v>202</v>
      </c>
      <c r="D133" s="251" t="s">
        <v>463</v>
      </c>
      <c r="E133" s="285"/>
      <c r="F133" s="285"/>
      <c r="G133" s="285"/>
      <c r="H133" s="285"/>
      <c r="I133" s="285"/>
      <c r="J133" s="285"/>
      <c r="K133" s="259" t="s">
        <v>362</v>
      </c>
      <c r="L133" s="259" t="s">
        <v>251</v>
      </c>
      <c r="M133" s="271" t="s">
        <v>2</v>
      </c>
      <c r="N133" s="68">
        <v>29081500</v>
      </c>
      <c r="O133" s="60">
        <v>29081500</v>
      </c>
      <c r="P133" s="264">
        <v>1E-4</v>
      </c>
      <c r="Q133" s="60"/>
      <c r="R133" s="60">
        <f>1000+4000+3000+1000</f>
        <v>9000</v>
      </c>
      <c r="S133" s="282">
        <f t="shared" si="8"/>
        <v>29081500</v>
      </c>
      <c r="T133" s="322" t="s">
        <v>256</v>
      </c>
      <c r="U133" s="15"/>
      <c r="V133" s="5"/>
    </row>
    <row r="134" spans="1:22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463</v>
      </c>
      <c r="E134" s="297"/>
      <c r="F134" s="297"/>
      <c r="G134" s="297"/>
      <c r="H134" s="297"/>
      <c r="I134" s="297"/>
      <c r="J134" s="297"/>
      <c r="K134" s="74" t="s">
        <v>362</v>
      </c>
      <c r="L134" s="74" t="s">
        <v>258</v>
      </c>
      <c r="M134" s="194" t="s">
        <v>2</v>
      </c>
      <c r="N134" s="307">
        <v>12060940</v>
      </c>
      <c r="O134" s="79">
        <v>12060940</v>
      </c>
      <c r="P134" s="264">
        <v>1E-4</v>
      </c>
      <c r="Q134" s="60"/>
      <c r="R134" s="60">
        <v>2170</v>
      </c>
      <c r="S134" s="282">
        <f t="shared" si="8"/>
        <v>12060940</v>
      </c>
      <c r="T134" s="322" t="s">
        <v>259</v>
      </c>
      <c r="U134" s="15"/>
      <c r="V134" s="5"/>
    </row>
    <row r="135" spans="1:22" s="9" customFormat="1" ht="30" customHeight="1" x14ac:dyDescent="0.25">
      <c r="A135" s="483" t="s">
        <v>437</v>
      </c>
      <c r="B135" s="484"/>
      <c r="C135" s="484"/>
      <c r="D135" s="508" t="s">
        <v>29</v>
      </c>
      <c r="E135" s="509"/>
      <c r="F135" s="509"/>
      <c r="G135" s="509"/>
      <c r="H135" s="509"/>
      <c r="I135" s="509"/>
      <c r="J135" s="509"/>
      <c r="K135" s="509"/>
      <c r="L135" s="501"/>
      <c r="M135" s="49"/>
      <c r="N135" s="56">
        <f>SUMIF($M$114:$M$134,D135,$N$114:$N$134)</f>
        <v>0</v>
      </c>
      <c r="O135" s="13">
        <f>SUMIF($M$104:$M$134,D135,$O$104:$O$134)</f>
        <v>0</v>
      </c>
      <c r="P135" s="13"/>
      <c r="Q135" s="11">
        <f>SUMIF($M$114:$M$134,D135,$Q$114:$Q$134)</f>
        <v>0</v>
      </c>
      <c r="R135" s="13">
        <f>SUMIF($M$104:$M$134,D135,$R$104:$R$134)</f>
        <v>0</v>
      </c>
      <c r="S135" s="13">
        <f>SUMIF($M$104:$M$134,D135,$S$104:$S$134)</f>
        <v>0</v>
      </c>
      <c r="T135" s="317"/>
      <c r="U135" s="8"/>
      <c r="V135" s="5"/>
    </row>
    <row r="136" spans="1:22" s="9" customFormat="1" ht="27" customHeight="1" x14ac:dyDescent="0.25">
      <c r="A136" s="485"/>
      <c r="B136" s="486"/>
      <c r="C136" s="486"/>
      <c r="D136" s="492" t="s">
        <v>2</v>
      </c>
      <c r="E136" s="481"/>
      <c r="F136" s="481"/>
      <c r="G136" s="481"/>
      <c r="H136" s="481"/>
      <c r="I136" s="481"/>
      <c r="J136" s="481"/>
      <c r="K136" s="481"/>
      <c r="L136" s="482"/>
      <c r="M136" s="54"/>
      <c r="N136" s="11">
        <f>SUMIF($M$114:$M$134,D136,$N$114:$N$134)</f>
        <v>2011462986</v>
      </c>
      <c r="O136" s="11">
        <f>SUMIF($M$114:$M$134,D136,$O$114:$O$134)</f>
        <v>2011462986</v>
      </c>
      <c r="P136" s="11"/>
      <c r="Q136" s="11">
        <f>SUMIF($M$114:$M$134,D136,$Q$114:$Q$134)</f>
        <v>629223510.20000005</v>
      </c>
      <c r="R136" s="11">
        <f>SUMIF($M$114:$M$134,D136,$R$114:$R$134)</f>
        <v>515765.2</v>
      </c>
      <c r="S136" s="11">
        <f>SUMIF($M$114:$M$134,D136,$S$114:$S$134)</f>
        <v>1383303275</v>
      </c>
      <c r="T136" s="318"/>
      <c r="U136" s="8"/>
      <c r="V136" s="5"/>
    </row>
    <row r="137" spans="1:22" s="9" customFormat="1" ht="28.5" customHeight="1" x14ac:dyDescent="0.25">
      <c r="A137" s="485"/>
      <c r="B137" s="486"/>
      <c r="C137" s="486"/>
      <c r="D137" s="492" t="s">
        <v>51</v>
      </c>
      <c r="E137" s="481"/>
      <c r="F137" s="481"/>
      <c r="G137" s="481"/>
      <c r="H137" s="481"/>
      <c r="I137" s="481"/>
      <c r="J137" s="481"/>
      <c r="K137" s="481"/>
      <c r="L137" s="482"/>
      <c r="M137" s="54"/>
      <c r="N137" s="11">
        <f>SUMIF($M$114:$M$134,D137,$N$114:$N$134)</f>
        <v>0</v>
      </c>
      <c r="O137" s="11">
        <f>SUMIF($M$104:$M$134,D137,$O$104:$O$134)</f>
        <v>0</v>
      </c>
      <c r="P137" s="11"/>
      <c r="Q137" s="11">
        <f>SUMIF($M$104:$M$134,D137,$Q$104:$Q$134)</f>
        <v>0</v>
      </c>
      <c r="R137" s="11">
        <f>SUMIF($M$104:$M$134,D137,$R$104:$R$134)</f>
        <v>0</v>
      </c>
      <c r="S137" s="11">
        <f>SUMIF($M$104:$M$134,D137,$S$104:$S$134)</f>
        <v>0</v>
      </c>
      <c r="T137" s="318"/>
      <c r="U137" s="8"/>
      <c r="V137" s="5"/>
    </row>
    <row r="138" spans="1:22" s="9" customFormat="1" ht="30" customHeight="1" thickBot="1" x14ac:dyDescent="0.3">
      <c r="A138" s="487"/>
      <c r="B138" s="488"/>
      <c r="C138" s="488"/>
      <c r="D138" s="493" t="s">
        <v>71</v>
      </c>
      <c r="E138" s="494"/>
      <c r="F138" s="494"/>
      <c r="G138" s="494"/>
      <c r="H138" s="494"/>
      <c r="I138" s="494"/>
      <c r="J138" s="494"/>
      <c r="K138" s="494"/>
      <c r="L138" s="495"/>
      <c r="M138" s="57"/>
      <c r="N138" s="12">
        <f>SUMIF($M$114:$M$134,D138,$N$114:$N$134)</f>
        <v>0</v>
      </c>
      <c r="O138" s="12">
        <f>SUMIF($M$104:$M$134,D138,$O$104:$O$134)</f>
        <v>0</v>
      </c>
      <c r="P138" s="12"/>
      <c r="Q138" s="12">
        <f>SUMIF($M$104:$M$134,D138,$Q$104:$Q$134)</f>
        <v>0</v>
      </c>
      <c r="R138" s="12">
        <f>SUMIF($M$104:$M$134,D138,$R$104:$R$134)</f>
        <v>0</v>
      </c>
      <c r="S138" s="12">
        <f>SUMIF($M$104:$M$134,D138,$S$104:$S$134)</f>
        <v>0</v>
      </c>
      <c r="T138" s="320"/>
      <c r="U138" s="8"/>
      <c r="V138" s="5"/>
    </row>
    <row r="139" spans="1:22" s="9" customFormat="1" ht="15.75" customHeight="1" x14ac:dyDescent="0.25">
      <c r="A139" s="496" t="s">
        <v>260</v>
      </c>
      <c r="B139" s="497"/>
      <c r="C139" s="498"/>
      <c r="D139" s="501" t="s">
        <v>29</v>
      </c>
      <c r="E139" s="502"/>
      <c r="F139" s="502"/>
      <c r="G139" s="502"/>
      <c r="H139" s="502"/>
      <c r="I139" s="502"/>
      <c r="J139" s="502"/>
      <c r="K139" s="502"/>
      <c r="L139" s="502"/>
      <c r="M139" s="80"/>
      <c r="N139" s="14">
        <f t="shared" ref="N139:S142" si="9">N46+N57+N68+N100+N110+N135</f>
        <v>340755742.28000003</v>
      </c>
      <c r="O139" s="14">
        <f t="shared" si="9"/>
        <v>141932627.11000001</v>
      </c>
      <c r="P139" s="14">
        <f t="shared" si="9"/>
        <v>0</v>
      </c>
      <c r="Q139" s="14">
        <f t="shared" si="9"/>
        <v>50627856.139612287</v>
      </c>
      <c r="R139" s="14">
        <f t="shared" si="9"/>
        <v>19389223.196404777</v>
      </c>
      <c r="S139" s="14">
        <f t="shared" si="9"/>
        <v>92066339.400387689</v>
      </c>
      <c r="T139" s="325"/>
      <c r="U139" s="8"/>
      <c r="V139" s="5"/>
    </row>
    <row r="140" spans="1:22" s="9" customFormat="1" ht="17.25" customHeight="1" x14ac:dyDescent="0.25">
      <c r="A140" s="485"/>
      <c r="B140" s="486"/>
      <c r="C140" s="499"/>
      <c r="D140" s="482" t="s">
        <v>2</v>
      </c>
      <c r="E140" s="503"/>
      <c r="F140" s="503"/>
      <c r="G140" s="503"/>
      <c r="H140" s="503"/>
      <c r="I140" s="503"/>
      <c r="J140" s="503"/>
      <c r="K140" s="503"/>
      <c r="L140" s="503"/>
      <c r="M140" s="80"/>
      <c r="N140" s="14">
        <f t="shared" si="9"/>
        <v>179740663940.10001</v>
      </c>
      <c r="O140" s="14">
        <f t="shared" si="9"/>
        <v>198697893242.60999</v>
      </c>
      <c r="P140" s="14">
        <f t="shared" si="9"/>
        <v>0</v>
      </c>
      <c r="Q140" s="14">
        <f t="shared" si="9"/>
        <v>97391101287.644714</v>
      </c>
      <c r="R140" s="14">
        <f t="shared" si="9"/>
        <v>47746184577.569481</v>
      </c>
      <c r="S140" s="14">
        <f t="shared" si="9"/>
        <v>101307855754.16527</v>
      </c>
      <c r="T140" s="318"/>
      <c r="U140" s="8"/>
      <c r="V140" s="5"/>
    </row>
    <row r="141" spans="1:22" s="9" customFormat="1" ht="15" customHeight="1" x14ac:dyDescent="0.25">
      <c r="A141" s="485"/>
      <c r="B141" s="486"/>
      <c r="C141" s="499"/>
      <c r="D141" s="482" t="s">
        <v>51</v>
      </c>
      <c r="E141" s="503"/>
      <c r="F141" s="503"/>
      <c r="G141" s="503"/>
      <c r="H141" s="503"/>
      <c r="I141" s="503"/>
      <c r="J141" s="503"/>
      <c r="K141" s="503"/>
      <c r="L141" s="503"/>
      <c r="M141" s="54"/>
      <c r="N141" s="14">
        <f t="shared" si="9"/>
        <v>481140620.32000005</v>
      </c>
      <c r="O141" s="14">
        <f t="shared" si="9"/>
        <v>361593444.99000001</v>
      </c>
      <c r="P141" s="14">
        <f t="shared" si="9"/>
        <v>0</v>
      </c>
      <c r="Q141" s="14">
        <f t="shared" si="9"/>
        <v>115397872.29957025</v>
      </c>
      <c r="R141" s="14">
        <f t="shared" si="9"/>
        <v>63458967.660840116</v>
      </c>
      <c r="S141" s="14">
        <f t="shared" si="9"/>
        <v>246195572.69042978</v>
      </c>
      <c r="T141" s="318"/>
      <c r="U141" s="8"/>
      <c r="V141" s="5"/>
    </row>
    <row r="142" spans="1:22" s="9" customFormat="1" ht="25.5" customHeight="1" x14ac:dyDescent="0.25">
      <c r="A142" s="487"/>
      <c r="B142" s="488"/>
      <c r="C142" s="500"/>
      <c r="D142" s="504" t="s">
        <v>71</v>
      </c>
      <c r="E142" s="505"/>
      <c r="F142" s="505"/>
      <c r="G142" s="505"/>
      <c r="H142" s="505"/>
      <c r="I142" s="505"/>
      <c r="J142" s="505"/>
      <c r="K142" s="505"/>
      <c r="L142" s="505"/>
      <c r="M142" s="55"/>
      <c r="N142" s="14">
        <f t="shared" si="9"/>
        <v>31777311969</v>
      </c>
      <c r="O142" s="14">
        <f t="shared" si="9"/>
        <v>31859249643</v>
      </c>
      <c r="P142" s="14">
        <f t="shared" si="9"/>
        <v>0</v>
      </c>
      <c r="Q142" s="14">
        <f t="shared" si="9"/>
        <v>12178517548.709158</v>
      </c>
      <c r="R142" s="14">
        <f t="shared" si="9"/>
        <v>3571514171.4328051</v>
      </c>
      <c r="S142" s="14">
        <f t="shared" si="9"/>
        <v>19680732094.29084</v>
      </c>
      <c r="T142" s="319"/>
      <c r="U142" s="8"/>
      <c r="V142" s="5"/>
    </row>
    <row r="143" spans="1:22" s="9" customFormat="1" ht="15" customHeight="1" thickBot="1" x14ac:dyDescent="0.3">
      <c r="A143" s="487"/>
      <c r="B143" s="488"/>
      <c r="C143" s="500"/>
      <c r="D143" s="480" t="s">
        <v>61</v>
      </c>
      <c r="E143" s="481"/>
      <c r="F143" s="481"/>
      <c r="G143" s="481"/>
      <c r="H143" s="481"/>
      <c r="I143" s="481"/>
      <c r="J143" s="481"/>
      <c r="K143" s="481"/>
      <c r="L143" s="482"/>
      <c r="M143" s="55"/>
      <c r="N143" s="14">
        <f t="shared" ref="N143:S143" si="10">N50</f>
        <v>24086688</v>
      </c>
      <c r="O143" s="14">
        <f t="shared" si="10"/>
        <v>18384172.012149811</v>
      </c>
      <c r="P143" s="14">
        <f t="shared" si="10"/>
        <v>0</v>
      </c>
      <c r="Q143" s="14">
        <f t="shared" si="10"/>
        <v>3889303.4021576373</v>
      </c>
      <c r="R143" s="14">
        <f t="shared" si="10"/>
        <v>2687639.4595199237</v>
      </c>
      <c r="S143" s="14">
        <f t="shared" si="10"/>
        <v>14494868.609992173</v>
      </c>
      <c r="T143" s="319"/>
      <c r="U143" s="8"/>
      <c r="V143" s="5"/>
    </row>
    <row r="144" spans="1:22" ht="51" customHeight="1" thickBot="1" x14ac:dyDescent="0.3">
      <c r="A144" s="81">
        <v>96</v>
      </c>
      <c r="B144" s="82" t="s">
        <v>261</v>
      </c>
      <c r="C144" s="83" t="s">
        <v>262</v>
      </c>
      <c r="D144" s="83" t="s">
        <v>463</v>
      </c>
      <c r="E144" s="83"/>
      <c r="F144" s="83"/>
      <c r="G144" s="83"/>
      <c r="H144" s="83"/>
      <c r="I144" s="83"/>
      <c r="J144" s="83"/>
      <c r="K144" s="83" t="s">
        <v>363</v>
      </c>
      <c r="L144" s="83" t="s">
        <v>263</v>
      </c>
      <c r="M144" s="83" t="s">
        <v>2</v>
      </c>
      <c r="N144" s="84">
        <f>834800635300+144000000000+32000000000+132000000000+3500000000+14000000000+2900000000+4000000000</f>
        <v>1167200635300</v>
      </c>
      <c r="O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4" s="102">
        <v>1E-4</v>
      </c>
      <c r="Q144" s="85"/>
      <c r="R144" s="85"/>
      <c r="S144" s="86">
        <f>O144-Q144</f>
        <v>1161789822801.3999</v>
      </c>
      <c r="T144" s="326" t="s">
        <v>76</v>
      </c>
      <c r="V144" s="9"/>
    </row>
    <row r="145" spans="2:22" ht="17.25" x14ac:dyDescent="0.3">
      <c r="B145" s="87" t="s">
        <v>2</v>
      </c>
      <c r="C145" s="88"/>
      <c r="M145" s="90"/>
      <c r="N145" s="16"/>
      <c r="O145" s="16"/>
      <c r="S145" s="92"/>
      <c r="T145" s="18"/>
    </row>
    <row r="146" spans="2:22" ht="17.25" x14ac:dyDescent="0.3">
      <c r="B146" s="87" t="s">
        <v>51</v>
      </c>
      <c r="C146" s="88">
        <v>393.28</v>
      </c>
      <c r="N146" s="16"/>
      <c r="O146" s="17"/>
      <c r="P146" s="93"/>
      <c r="R146" s="16"/>
      <c r="S146" s="94"/>
      <c r="T146" s="95"/>
    </row>
    <row r="147" spans="2:22" ht="17.25" x14ac:dyDescent="0.3">
      <c r="B147" s="87" t="s">
        <v>71</v>
      </c>
      <c r="C147" s="96">
        <v>2.5990000000000002</v>
      </c>
      <c r="O147" s="16"/>
      <c r="R147" s="16"/>
      <c r="S147" s="154"/>
      <c r="T147" s="97"/>
    </row>
    <row r="148" spans="2:22" ht="17.25" x14ac:dyDescent="0.3">
      <c r="B148" s="87" t="s">
        <v>29</v>
      </c>
      <c r="C148" s="88">
        <v>424.11</v>
      </c>
      <c r="O148" s="17"/>
      <c r="R148" s="16"/>
      <c r="S148" s="17"/>
      <c r="T148" s="97"/>
    </row>
    <row r="149" spans="2:22" ht="17.25" x14ac:dyDescent="0.3">
      <c r="B149" s="87" t="s">
        <v>61</v>
      </c>
      <c r="C149" s="88">
        <v>520.48</v>
      </c>
      <c r="R149" s="18"/>
      <c r="S149" s="16"/>
      <c r="T149" s="5"/>
    </row>
    <row r="150" spans="2:22" x14ac:dyDescent="0.25">
      <c r="T150" s="5"/>
    </row>
    <row r="151" spans="2:22" x14ac:dyDescent="0.25">
      <c r="S151" s="19"/>
    </row>
    <row r="152" spans="2:22" x14ac:dyDescent="0.25">
      <c r="O152" s="154"/>
      <c r="R152" s="16"/>
      <c r="S152" s="154"/>
    </row>
    <row r="153" spans="2:22" x14ac:dyDescent="0.25">
      <c r="S153" s="16"/>
    </row>
    <row r="154" spans="2:22" x14ac:dyDescent="0.25">
      <c r="S154" s="16"/>
    </row>
    <row r="158" spans="2:22" x14ac:dyDescent="0.25">
      <c r="S158" s="16"/>
    </row>
    <row r="159" spans="2:22" s="17" customFormat="1" x14ac:dyDescent="0.25">
      <c r="B159" s="20"/>
      <c r="C159" s="6"/>
      <c r="D159" s="6"/>
      <c r="E159" s="6"/>
      <c r="F159" s="6"/>
      <c r="G159" s="6"/>
      <c r="H159" s="6"/>
      <c r="I159" s="6"/>
      <c r="J159" s="6"/>
      <c r="K159" s="89"/>
      <c r="L159" s="6"/>
      <c r="M159" s="6"/>
      <c r="N159" s="6"/>
      <c r="O159" s="6"/>
      <c r="P159" s="91"/>
      <c r="Q159" s="6"/>
      <c r="R159" s="6"/>
      <c r="S159" s="16"/>
      <c r="T159" s="6"/>
      <c r="U159" s="5"/>
      <c r="V159" s="6"/>
    </row>
    <row r="160" spans="2:22" x14ac:dyDescent="0.25">
      <c r="V160" s="17"/>
    </row>
  </sheetData>
  <protectedRanges>
    <protectedRange password="C670" sqref="T79:T91 A79:N91 A73:N76 A64:T67 O73:T76 O79:S91" name="Maria"/>
    <protectedRange algorithmName="SHA-512" hashValue="R0m7mG/o0t2+7dbQTzM5iQkFX2amgAS+iAGJudQnnweh07e6LDAbSuhvcwbzcp7drP+HIG4d/wHfMCXiBXmkow==" saltValue="hXh6Ce3lteSj/cvmR3BSBw==" spinCount="100000" sqref="A144:R144 T95:T97 T144 T114:T134 A95:R97 A114:R134" name="Narine"/>
    <protectedRange algorithmName="SHA-512" hashValue="/qDn2zoAPl6XveVGTDHZcWIjR6P6fmKMYiOIx92BVGuoQ3TYOXlsDsoiDSLs1D9Ugjb3A3EixLJ11cGk8PSHvw==" saltValue="LV/JN9wntl8CkZ3QpoEkqA==" spinCount="100000" sqref="T97:T99 A61:R62 A97:R99 T61:T62" name="Nara"/>
    <protectedRange algorithmName="SHA-512" hashValue="2hnhy85Hze6pXZTujHMyiGA7lE9yapdzAMEgpTAQUbEvX5wkbgVJAYj8efzABUddHb+HHBXm+QO7FFQ7DdcL0Q==" saltValue="/3Se5MhqYIbXZuII16lL6A==" spinCount="100000" sqref="A104:N109 A72:T72 O104:T109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2:A43"/>
    <mergeCell ref="B42:B43"/>
    <mergeCell ref="C42:C43"/>
    <mergeCell ref="K42:K43"/>
    <mergeCell ref="L42:L43"/>
    <mergeCell ref="P42:P43"/>
    <mergeCell ref="T42:T43"/>
    <mergeCell ref="A34:A36"/>
    <mergeCell ref="B34:B36"/>
    <mergeCell ref="C34:C36"/>
    <mergeCell ref="D34:D36"/>
    <mergeCell ref="E34:E36"/>
    <mergeCell ref="K34:K36"/>
    <mergeCell ref="B52:B53"/>
    <mergeCell ref="T52:T53"/>
    <mergeCell ref="A55:A56"/>
    <mergeCell ref="B55:B56"/>
    <mergeCell ref="C55:C56"/>
    <mergeCell ref="T55:T56"/>
    <mergeCell ref="D44:D45"/>
    <mergeCell ref="P44:P45"/>
    <mergeCell ref="A46:C50"/>
    <mergeCell ref="D46:L46"/>
    <mergeCell ref="D47:L47"/>
    <mergeCell ref="D48:L48"/>
    <mergeCell ref="D49:L49"/>
    <mergeCell ref="D50:L50"/>
    <mergeCell ref="A57:C60"/>
    <mergeCell ref="D57:L57"/>
    <mergeCell ref="D58:L58"/>
    <mergeCell ref="D59:L59"/>
    <mergeCell ref="D60:L60"/>
    <mergeCell ref="A68:C71"/>
    <mergeCell ref="D68:L68"/>
    <mergeCell ref="D69:L69"/>
    <mergeCell ref="D70:L70"/>
    <mergeCell ref="D71:L71"/>
    <mergeCell ref="T86:T87"/>
    <mergeCell ref="A92:A93"/>
    <mergeCell ref="B92:B93"/>
    <mergeCell ref="C92:C93"/>
    <mergeCell ref="D92:D93"/>
    <mergeCell ref="K92:K93"/>
    <mergeCell ref="L92:L93"/>
    <mergeCell ref="T92:T93"/>
    <mergeCell ref="A75:A76"/>
    <mergeCell ref="B75:B76"/>
    <mergeCell ref="C75:C76"/>
    <mergeCell ref="L75:L76"/>
    <mergeCell ref="T80:T82"/>
    <mergeCell ref="A86:A87"/>
    <mergeCell ref="B86:B87"/>
    <mergeCell ref="C86:C87"/>
    <mergeCell ref="D86:D87"/>
    <mergeCell ref="K86:K87"/>
    <mergeCell ref="A110:C113"/>
    <mergeCell ref="D110:L110"/>
    <mergeCell ref="D111:L111"/>
    <mergeCell ref="D112:L112"/>
    <mergeCell ref="D113:L113"/>
    <mergeCell ref="A100:C103"/>
    <mergeCell ref="D100:L100"/>
    <mergeCell ref="D101:L101"/>
    <mergeCell ref="D102:L102"/>
    <mergeCell ref="D103:L103"/>
    <mergeCell ref="B105:B107"/>
    <mergeCell ref="C105:C107"/>
    <mergeCell ref="D143:L143"/>
    <mergeCell ref="A135:C138"/>
    <mergeCell ref="D135:L135"/>
    <mergeCell ref="D136:L136"/>
    <mergeCell ref="D137:L137"/>
    <mergeCell ref="D138:L138"/>
    <mergeCell ref="A139:C143"/>
    <mergeCell ref="D139:L139"/>
    <mergeCell ref="D140:L140"/>
    <mergeCell ref="D141:L141"/>
    <mergeCell ref="D142:L142"/>
  </mergeCells>
  <conditionalFormatting sqref="O5">
    <cfRule type="cellIs" dxfId="36" priority="5" operator="notEqual">
      <formula>#REF!</formula>
    </cfRule>
  </conditionalFormatting>
  <conditionalFormatting sqref="O94 O6:O33 O35:O44">
    <cfRule type="cellIs" dxfId="35" priority="4" operator="notEqual">
      <formula>#REF!</formula>
    </cfRule>
  </conditionalFormatting>
  <conditionalFormatting sqref="N21">
    <cfRule type="cellIs" dxfId="34" priority="3" operator="notEqual">
      <formula>#REF!</formula>
    </cfRule>
  </conditionalFormatting>
  <conditionalFormatting sqref="O45">
    <cfRule type="cellIs" dxfId="33" priority="2" operator="notEqual">
      <formula>#REF!</formula>
    </cfRule>
  </conditionalFormatting>
  <conditionalFormatting sqref="O78">
    <cfRule type="cellIs" dxfId="32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6" sqref="H7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23.5703125" style="5" customWidth="1"/>
    <col min="16" max="16" width="21.85546875" style="6" customWidth="1"/>
    <col min="17" max="16384" width="9.140625" style="6"/>
  </cols>
  <sheetData>
    <row r="1" spans="1:16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</row>
    <row r="2" spans="1:16" ht="49.5" customHeight="1" x14ac:dyDescent="0.4">
      <c r="A2" s="570" t="s">
        <v>491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</row>
    <row r="3" spans="1:16" ht="38.25" customHeight="1" x14ac:dyDescent="0.25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6" s="2" customFormat="1" ht="114" customHeight="1" x14ac:dyDescent="0.25">
      <c r="A4" s="247" t="s">
        <v>13</v>
      </c>
      <c r="B4" s="247" t="s">
        <v>14</v>
      </c>
      <c r="C4" s="247" t="s">
        <v>15</v>
      </c>
      <c r="D4" s="247" t="s">
        <v>16</v>
      </c>
      <c r="E4" s="247" t="s">
        <v>298</v>
      </c>
      <c r="F4" s="247" t="s">
        <v>290</v>
      </c>
      <c r="G4" s="247" t="s">
        <v>17</v>
      </c>
      <c r="H4" s="247" t="s">
        <v>18</v>
      </c>
      <c r="I4" s="247" t="s">
        <v>19</v>
      </c>
      <c r="J4" s="248" t="s">
        <v>20</v>
      </c>
      <c r="K4" s="247" t="s">
        <v>21</v>
      </c>
      <c r="L4" s="247" t="s">
        <v>22</v>
      </c>
      <c r="M4" s="247" t="s">
        <v>23</v>
      </c>
      <c r="N4" s="247" t="s">
        <v>24</v>
      </c>
      <c r="O4" s="1"/>
      <c r="P4" s="98"/>
    </row>
    <row r="5" spans="1:16" ht="75" customHeight="1" outlineLevel="1" x14ac:dyDescent="0.25">
      <c r="A5" s="548">
        <v>1</v>
      </c>
      <c r="B5" s="548" t="s">
        <v>25</v>
      </c>
      <c r="C5" s="33" t="s">
        <v>26</v>
      </c>
      <c r="D5" s="553" t="s">
        <v>27</v>
      </c>
      <c r="E5" s="552" t="s">
        <v>299</v>
      </c>
      <c r="F5" s="221" t="s">
        <v>28</v>
      </c>
      <c r="G5" s="217" t="s">
        <v>29</v>
      </c>
      <c r="H5" s="32">
        <v>7300000</v>
      </c>
      <c r="I5" s="32">
        <f>5822389.5+13412.1+4470.7+716451.75+24588.85+716451.75+2235.35</f>
        <v>7299999.9999999991</v>
      </c>
      <c r="J5" s="219" t="s">
        <v>30</v>
      </c>
      <c r="K5" s="32">
        <f>595000+119000+119000+119000+119000+119000</f>
        <v>1190000</v>
      </c>
      <c r="L5" s="32">
        <v>652083.5</v>
      </c>
      <c r="M5" s="32">
        <f t="shared" ref="M5:M33" si="0">I5-K5</f>
        <v>6109999.9999999991</v>
      </c>
      <c r="N5" s="216" t="s">
        <v>31</v>
      </c>
      <c r="P5" s="5"/>
    </row>
    <row r="6" spans="1:16" ht="75.75" customHeight="1" outlineLevel="1" x14ac:dyDescent="0.25">
      <c r="A6" s="548"/>
      <c r="B6" s="548"/>
      <c r="C6" s="33" t="s">
        <v>32</v>
      </c>
      <c r="D6" s="553"/>
      <c r="E6" s="552"/>
      <c r="F6" s="221" t="s">
        <v>33</v>
      </c>
      <c r="G6" s="217" t="s">
        <v>29</v>
      </c>
      <c r="H6" s="32">
        <v>7300000</v>
      </c>
      <c r="I6" s="32">
        <v>7299999.9999999981</v>
      </c>
      <c r="J6" s="223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216" t="s">
        <v>35</v>
      </c>
      <c r="P6" s="5"/>
    </row>
    <row r="7" spans="1:16" ht="64.5" customHeight="1" outlineLevel="1" x14ac:dyDescent="0.25">
      <c r="A7" s="216">
        <v>2</v>
      </c>
      <c r="B7" s="216" t="s">
        <v>25</v>
      </c>
      <c r="C7" s="216" t="s">
        <v>36</v>
      </c>
      <c r="D7" s="221" t="s">
        <v>27</v>
      </c>
      <c r="E7" s="220" t="s">
        <v>300</v>
      </c>
      <c r="F7" s="221" t="s">
        <v>37</v>
      </c>
      <c r="G7" s="217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216" t="s">
        <v>31</v>
      </c>
      <c r="P7" s="5"/>
    </row>
    <row r="8" spans="1:16" ht="67.5" outlineLevel="1" x14ac:dyDescent="0.25">
      <c r="A8" s="216">
        <v>3</v>
      </c>
      <c r="B8" s="216" t="s">
        <v>25</v>
      </c>
      <c r="C8" s="216" t="s">
        <v>38</v>
      </c>
      <c r="D8" s="221" t="s">
        <v>27</v>
      </c>
      <c r="E8" s="220" t="s">
        <v>301</v>
      </c>
      <c r="F8" s="221" t="s">
        <v>39</v>
      </c>
      <c r="G8" s="217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216" t="s">
        <v>35</v>
      </c>
      <c r="P8" s="5"/>
    </row>
    <row r="9" spans="1:16" ht="57.75" customHeight="1" outlineLevel="1" x14ac:dyDescent="0.25">
      <c r="A9" s="548">
        <v>4</v>
      </c>
      <c r="B9" s="548" t="s">
        <v>25</v>
      </c>
      <c r="C9" s="548" t="s">
        <v>38</v>
      </c>
      <c r="D9" s="221" t="s">
        <v>27</v>
      </c>
      <c r="E9" s="552" t="s">
        <v>301</v>
      </c>
      <c r="F9" s="553" t="s">
        <v>41</v>
      </c>
      <c r="G9" s="217" t="s">
        <v>29</v>
      </c>
      <c r="H9" s="32">
        <v>10200000</v>
      </c>
      <c r="I9" s="32">
        <f>1075381.69+59500</f>
        <v>1134881.69</v>
      </c>
      <c r="J9" s="582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548" t="s">
        <v>35</v>
      </c>
      <c r="P9" s="5"/>
    </row>
    <row r="10" spans="1:16" ht="57.75" customHeight="1" outlineLevel="1" x14ac:dyDescent="0.25">
      <c r="A10" s="548"/>
      <c r="B10" s="548"/>
      <c r="C10" s="548"/>
      <c r="D10" s="221" t="s">
        <v>463</v>
      </c>
      <c r="E10" s="552"/>
      <c r="F10" s="553"/>
      <c r="G10" s="217" t="s">
        <v>2</v>
      </c>
      <c r="H10" s="32"/>
      <c r="I10" s="32">
        <v>244081445</v>
      </c>
      <c r="J10" s="582"/>
      <c r="K10" s="32"/>
      <c r="L10" s="32">
        <f>9774294.3+915305.4+915305.4+915305.4</f>
        <v>12520210.500000002</v>
      </c>
      <c r="M10" s="32">
        <f>I10-K10</f>
        <v>244081445</v>
      </c>
      <c r="N10" s="548"/>
      <c r="P10" s="5"/>
    </row>
    <row r="11" spans="1:16" ht="76.5" customHeight="1" outlineLevel="1" x14ac:dyDescent="0.25">
      <c r="A11" s="548">
        <v>5</v>
      </c>
      <c r="B11" s="548" t="s">
        <v>25</v>
      </c>
      <c r="C11" s="548" t="s">
        <v>42</v>
      </c>
      <c r="D11" s="221" t="s">
        <v>126</v>
      </c>
      <c r="E11" s="552" t="s">
        <v>302</v>
      </c>
      <c r="F11" s="553" t="s">
        <v>43</v>
      </c>
      <c r="G11" s="217" t="s">
        <v>29</v>
      </c>
      <c r="H11" s="32">
        <v>10000000</v>
      </c>
      <c r="I11" s="32"/>
      <c r="J11" s="582" t="s">
        <v>44</v>
      </c>
      <c r="K11" s="32"/>
      <c r="L11" s="32">
        <v>50000</v>
      </c>
      <c r="M11" s="32">
        <f>I11-K11</f>
        <v>0</v>
      </c>
      <c r="N11" s="548" t="s">
        <v>45</v>
      </c>
      <c r="P11" s="5"/>
    </row>
    <row r="12" spans="1:16" ht="76.5" customHeight="1" outlineLevel="1" x14ac:dyDescent="0.25">
      <c r="A12" s="548"/>
      <c r="B12" s="548"/>
      <c r="C12" s="548"/>
      <c r="D12" s="221" t="s">
        <v>463</v>
      </c>
      <c r="E12" s="552"/>
      <c r="F12" s="553"/>
      <c r="G12" s="221" t="s">
        <v>2</v>
      </c>
      <c r="H12" s="32"/>
      <c r="I12" s="32"/>
      <c r="J12" s="582"/>
      <c r="K12" s="32"/>
      <c r="L12" s="32"/>
      <c r="M12" s="32">
        <f t="shared" si="0"/>
        <v>0</v>
      </c>
      <c r="N12" s="548"/>
      <c r="P12" s="5"/>
    </row>
    <row r="13" spans="1:16" ht="76.5" customHeight="1" outlineLevel="1" x14ac:dyDescent="0.25">
      <c r="A13" s="548">
        <v>6</v>
      </c>
      <c r="B13" s="548" t="s">
        <v>25</v>
      </c>
      <c r="C13" s="548" t="s">
        <v>46</v>
      </c>
      <c r="D13" s="221" t="s">
        <v>27</v>
      </c>
      <c r="E13" s="552" t="s">
        <v>303</v>
      </c>
      <c r="F13" s="553" t="s">
        <v>47</v>
      </c>
      <c r="G13" s="217" t="s">
        <v>29</v>
      </c>
      <c r="H13" s="32">
        <v>83000000</v>
      </c>
      <c r="I13" s="32"/>
      <c r="J13" s="582" t="s">
        <v>464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548" t="s">
        <v>35</v>
      </c>
      <c r="P13" s="5"/>
    </row>
    <row r="14" spans="1:16" ht="76.5" customHeight="1" outlineLevel="1" x14ac:dyDescent="0.25">
      <c r="A14" s="548"/>
      <c r="B14" s="548"/>
      <c r="C14" s="548"/>
      <c r="D14" s="221" t="s">
        <v>463</v>
      </c>
      <c r="E14" s="552"/>
      <c r="F14" s="553"/>
      <c r="G14" s="221" t="s">
        <v>2</v>
      </c>
      <c r="H14" s="32"/>
      <c r="I14" s="32"/>
      <c r="J14" s="582"/>
      <c r="K14" s="32"/>
      <c r="L14" s="32"/>
      <c r="M14" s="32">
        <f t="shared" si="0"/>
        <v>0</v>
      </c>
      <c r="N14" s="548"/>
      <c r="O14" s="8"/>
      <c r="P14" s="5"/>
    </row>
    <row r="15" spans="1:16" ht="96.75" customHeight="1" outlineLevel="1" x14ac:dyDescent="0.25">
      <c r="A15" s="548">
        <v>7</v>
      </c>
      <c r="B15" s="548" t="s">
        <v>25</v>
      </c>
      <c r="C15" s="548" t="s">
        <v>48</v>
      </c>
      <c r="D15" s="553" t="s">
        <v>49</v>
      </c>
      <c r="E15" s="552" t="s">
        <v>304</v>
      </c>
      <c r="F15" s="553" t="s">
        <v>50</v>
      </c>
      <c r="G15" s="217" t="s">
        <v>51</v>
      </c>
      <c r="H15" s="32">
        <f>35500000-1434414.8</f>
        <v>34065585.200000003</v>
      </c>
      <c r="I15" s="32">
        <v>34065585.200000003</v>
      </c>
      <c r="J15" s="555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548" t="s">
        <v>52</v>
      </c>
      <c r="O15" s="8"/>
      <c r="P15" s="5"/>
    </row>
    <row r="16" spans="1:16" ht="68.25" customHeight="1" outlineLevel="1" x14ac:dyDescent="0.25">
      <c r="A16" s="548"/>
      <c r="B16" s="548"/>
      <c r="C16" s="548"/>
      <c r="D16" s="553"/>
      <c r="E16" s="552"/>
      <c r="F16" s="553"/>
      <c r="G16" s="221" t="s">
        <v>2</v>
      </c>
      <c r="H16" s="32"/>
      <c r="I16" s="32">
        <v>3680136115.8000002</v>
      </c>
      <c r="J16" s="555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548"/>
      <c r="O16" s="8"/>
      <c r="P16" s="5"/>
    </row>
    <row r="17" spans="1:15" s="5" customFormat="1" ht="81" customHeight="1" outlineLevel="1" x14ac:dyDescent="0.25">
      <c r="A17" s="548">
        <v>8</v>
      </c>
      <c r="B17" s="548" t="s">
        <v>25</v>
      </c>
      <c r="C17" s="548" t="s">
        <v>53</v>
      </c>
      <c r="D17" s="553" t="s">
        <v>49</v>
      </c>
      <c r="E17" s="552" t="s">
        <v>305</v>
      </c>
      <c r="F17" s="552" t="s">
        <v>54</v>
      </c>
      <c r="G17" s="217" t="s">
        <v>51</v>
      </c>
      <c r="H17" s="34">
        <f>40000000-2500000-1500000</f>
        <v>36000000</v>
      </c>
      <c r="I17" s="32">
        <v>25459684.080000002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25459684.080000002</v>
      </c>
      <c r="N17" s="548" t="s">
        <v>52</v>
      </c>
      <c r="O17" s="8"/>
    </row>
    <row r="18" spans="1:15" s="5" customFormat="1" ht="39.75" customHeight="1" outlineLevel="1" x14ac:dyDescent="0.25">
      <c r="A18" s="548"/>
      <c r="B18" s="548"/>
      <c r="C18" s="548"/>
      <c r="D18" s="553"/>
      <c r="E18" s="552"/>
      <c r="F18" s="552"/>
      <c r="G18" s="221" t="s">
        <v>2</v>
      </c>
      <c r="H18" s="34"/>
      <c r="I18" s="32">
        <v>1298916975.1000001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1298353762.9000001</v>
      </c>
      <c r="N18" s="548"/>
      <c r="O18" s="8"/>
    </row>
    <row r="19" spans="1:15" s="5" customFormat="1" ht="70.5" customHeight="1" outlineLevel="1" x14ac:dyDescent="0.25">
      <c r="A19" s="548">
        <v>9</v>
      </c>
      <c r="B19" s="554" t="s">
        <v>25</v>
      </c>
      <c r="C19" s="548" t="s">
        <v>55</v>
      </c>
      <c r="D19" s="553" t="s">
        <v>49</v>
      </c>
      <c r="E19" s="552" t="s">
        <v>306</v>
      </c>
      <c r="F19" s="552" t="s">
        <v>56</v>
      </c>
      <c r="G19" s="217" t="s">
        <v>51</v>
      </c>
      <c r="H19" s="34">
        <v>23194486</v>
      </c>
      <c r="I19" s="32">
        <v>14065561.98</v>
      </c>
      <c r="J19" s="582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14065561.98</v>
      </c>
      <c r="N19" s="548" t="s">
        <v>52</v>
      </c>
      <c r="O19" s="8"/>
    </row>
    <row r="20" spans="1:15" s="5" customFormat="1" ht="54.75" customHeight="1" outlineLevel="1" x14ac:dyDescent="0.25">
      <c r="A20" s="548"/>
      <c r="B20" s="554"/>
      <c r="C20" s="548"/>
      <c r="D20" s="553"/>
      <c r="E20" s="552"/>
      <c r="F20" s="552"/>
      <c r="G20" s="221" t="s">
        <v>2</v>
      </c>
      <c r="H20" s="34"/>
      <c r="I20" s="32">
        <v>1715005397.0999999</v>
      </c>
      <c r="J20" s="582"/>
      <c r="K20" s="32">
        <v>91463799.799999997</v>
      </c>
      <c r="L20" s="32">
        <f>119885553.7+36155098.5+43333756.7</f>
        <v>199374408.89999998</v>
      </c>
      <c r="M20" s="32">
        <f t="shared" si="0"/>
        <v>1623541597.3</v>
      </c>
      <c r="N20" s="548"/>
      <c r="O20" s="8"/>
    </row>
    <row r="21" spans="1:15" s="5" customFormat="1" ht="60" customHeight="1" outlineLevel="1" x14ac:dyDescent="0.25">
      <c r="A21" s="548">
        <v>10</v>
      </c>
      <c r="B21" s="554" t="s">
        <v>57</v>
      </c>
      <c r="C21" s="548"/>
      <c r="D21" s="553"/>
      <c r="E21" s="552" t="s">
        <v>307</v>
      </c>
      <c r="F21" s="552" t="s">
        <v>56</v>
      </c>
      <c r="G21" s="217" t="s">
        <v>51</v>
      </c>
      <c r="H21" s="32">
        <v>16662617.070000002</v>
      </c>
      <c r="I21" s="32">
        <v>16662617.070000002</v>
      </c>
      <c r="J21" s="582"/>
      <c r="K21" s="32"/>
      <c r="L21" s="32">
        <f>2194958+182027405/386.38+218562808/403.19</f>
        <v>3208151.702122347</v>
      </c>
      <c r="M21" s="32">
        <f t="shared" si="0"/>
        <v>16662617.070000002</v>
      </c>
      <c r="N21" s="548" t="s">
        <v>52</v>
      </c>
      <c r="O21" s="8"/>
    </row>
    <row r="22" spans="1:15" s="5" customFormat="1" ht="40.5" customHeight="1" outlineLevel="1" x14ac:dyDescent="0.25">
      <c r="A22" s="548"/>
      <c r="B22" s="554"/>
      <c r="C22" s="548"/>
      <c r="D22" s="553"/>
      <c r="E22" s="552"/>
      <c r="F22" s="552"/>
      <c r="G22" s="217" t="s">
        <v>2</v>
      </c>
      <c r="H22" s="41"/>
      <c r="I22" s="32">
        <v>2003005775.2</v>
      </c>
      <c r="J22" s="582"/>
      <c r="K22" s="32"/>
      <c r="L22" s="32">
        <f>238604865.8+56631905+65163658.9</f>
        <v>360400429.69999999</v>
      </c>
      <c r="M22" s="32">
        <f t="shared" si="0"/>
        <v>2003005775.2</v>
      </c>
      <c r="N22" s="548"/>
      <c r="O22" s="8"/>
    </row>
    <row r="23" spans="1:15" s="5" customFormat="1" ht="57.75" customHeight="1" outlineLevel="1" x14ac:dyDescent="0.25">
      <c r="A23" s="548">
        <v>11</v>
      </c>
      <c r="B23" s="554" t="s">
        <v>25</v>
      </c>
      <c r="C23" s="548" t="s">
        <v>58</v>
      </c>
      <c r="D23" s="553" t="s">
        <v>59</v>
      </c>
      <c r="E23" s="552" t="s">
        <v>305</v>
      </c>
      <c r="F23" s="553" t="s">
        <v>60</v>
      </c>
      <c r="G23" s="217" t="s">
        <v>61</v>
      </c>
      <c r="H23" s="36">
        <v>13988153</v>
      </c>
      <c r="I23" s="32">
        <v>8262785.6411363389</v>
      </c>
      <c r="J23" s="582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548" t="s">
        <v>52</v>
      </c>
      <c r="O23" s="8"/>
    </row>
    <row r="24" spans="1:15" s="5" customFormat="1" ht="32.25" customHeight="1" outlineLevel="1" x14ac:dyDescent="0.25">
      <c r="A24" s="548"/>
      <c r="B24" s="554"/>
      <c r="C24" s="548"/>
      <c r="D24" s="553"/>
      <c r="E24" s="552"/>
      <c r="F24" s="553"/>
      <c r="G24" s="221" t="s">
        <v>2</v>
      </c>
      <c r="H24" s="36"/>
      <c r="I24" s="32">
        <v>1194787815</v>
      </c>
      <c r="J24" s="582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548"/>
      <c r="O24" s="8"/>
    </row>
    <row r="25" spans="1:15" s="5" customFormat="1" ht="51.75" customHeight="1" outlineLevel="1" x14ac:dyDescent="0.25">
      <c r="A25" s="548">
        <v>12</v>
      </c>
      <c r="B25" s="554" t="s">
        <v>62</v>
      </c>
      <c r="C25" s="548"/>
      <c r="D25" s="553"/>
      <c r="E25" s="552" t="s">
        <v>308</v>
      </c>
      <c r="F25" s="553" t="s">
        <v>60</v>
      </c>
      <c r="G25" s="217" t="s">
        <v>61</v>
      </c>
      <c r="H25" s="36">
        <v>10098535</v>
      </c>
      <c r="I25" s="32">
        <v>10121386.37101347</v>
      </c>
      <c r="J25" s="582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548" t="s">
        <v>52</v>
      </c>
      <c r="O25" s="8"/>
    </row>
    <row r="26" spans="1:15" s="5" customFormat="1" ht="32.25" customHeight="1" outlineLevel="1" x14ac:dyDescent="0.25">
      <c r="A26" s="548"/>
      <c r="B26" s="554"/>
      <c r="C26" s="548"/>
      <c r="D26" s="553"/>
      <c r="E26" s="552"/>
      <c r="F26" s="553"/>
      <c r="G26" s="221" t="s">
        <v>2</v>
      </c>
      <c r="H26" s="36"/>
      <c r="I26" s="32">
        <v>794162455.89999998</v>
      </c>
      <c r="J26" s="582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548"/>
      <c r="O26" s="8"/>
    </row>
    <row r="27" spans="1:15" s="5" customFormat="1" ht="48" customHeight="1" outlineLevel="1" x14ac:dyDescent="0.25">
      <c r="A27" s="216">
        <v>13</v>
      </c>
      <c r="B27" s="222" t="s">
        <v>25</v>
      </c>
      <c r="C27" s="548" t="s">
        <v>63</v>
      </c>
      <c r="D27" s="553" t="s">
        <v>64</v>
      </c>
      <c r="E27" s="220" t="s">
        <v>309</v>
      </c>
      <c r="F27" s="221" t="s">
        <v>65</v>
      </c>
      <c r="G27" s="217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216" t="s">
        <v>52</v>
      </c>
      <c r="O27" s="8"/>
    </row>
    <row r="28" spans="1:15" s="5" customFormat="1" ht="60" customHeight="1" outlineLevel="1" x14ac:dyDescent="0.25">
      <c r="A28" s="216">
        <v>14</v>
      </c>
      <c r="B28" s="222" t="s">
        <v>62</v>
      </c>
      <c r="C28" s="548"/>
      <c r="D28" s="553"/>
      <c r="E28" s="220" t="s">
        <v>310</v>
      </c>
      <c r="F28" s="221" t="s">
        <v>66</v>
      </c>
      <c r="G28" s="217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216" t="s">
        <v>52</v>
      </c>
      <c r="O28" s="8"/>
    </row>
    <row r="29" spans="1:15" s="5" customFormat="1" ht="51" customHeight="1" outlineLevel="1" x14ac:dyDescent="0.25">
      <c r="A29" s="216">
        <v>15</v>
      </c>
      <c r="B29" s="222" t="s">
        <v>62</v>
      </c>
      <c r="C29" s="554" t="s">
        <v>68</v>
      </c>
      <c r="D29" s="553" t="s">
        <v>69</v>
      </c>
      <c r="E29" s="220" t="s">
        <v>311</v>
      </c>
      <c r="F29" s="221" t="s">
        <v>70</v>
      </c>
      <c r="G29" s="221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216" t="s">
        <v>52</v>
      </c>
      <c r="O29" s="8"/>
    </row>
    <row r="30" spans="1:15" s="5" customFormat="1" ht="41.25" customHeight="1" outlineLevel="1" x14ac:dyDescent="0.25">
      <c r="A30" s="216">
        <v>16</v>
      </c>
      <c r="B30" s="216" t="s">
        <v>72</v>
      </c>
      <c r="C30" s="554"/>
      <c r="D30" s="553"/>
      <c r="E30" s="220" t="s">
        <v>312</v>
      </c>
      <c r="F30" s="221" t="s">
        <v>70</v>
      </c>
      <c r="G30" s="221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216" t="s">
        <v>52</v>
      </c>
      <c r="O30" s="8"/>
    </row>
    <row r="31" spans="1:15" s="5" customFormat="1" ht="49.5" customHeight="1" outlineLevel="1" x14ac:dyDescent="0.25">
      <c r="A31" s="548">
        <v>17</v>
      </c>
      <c r="B31" s="554" t="s">
        <v>73</v>
      </c>
      <c r="C31" s="548" t="s">
        <v>74</v>
      </c>
      <c r="D31" s="553" t="s">
        <v>64</v>
      </c>
      <c r="E31" s="552" t="s">
        <v>313</v>
      </c>
      <c r="F31" s="553" t="s">
        <v>75</v>
      </c>
      <c r="G31" s="217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216" t="s">
        <v>76</v>
      </c>
      <c r="O31" s="8"/>
    </row>
    <row r="32" spans="1:15" s="5" customFormat="1" ht="41.25" customHeight="1" outlineLevel="1" x14ac:dyDescent="0.25">
      <c r="A32" s="548"/>
      <c r="B32" s="554"/>
      <c r="C32" s="548"/>
      <c r="D32" s="553"/>
      <c r="E32" s="552"/>
      <c r="F32" s="553"/>
      <c r="G32" s="221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216" t="s">
        <v>76</v>
      </c>
      <c r="O32" s="8"/>
    </row>
    <row r="33" spans="1:16" ht="87" customHeight="1" outlineLevel="1" x14ac:dyDescent="0.25">
      <c r="A33" s="216">
        <v>18</v>
      </c>
      <c r="B33" s="222" t="s">
        <v>77</v>
      </c>
      <c r="C33" s="216" t="s">
        <v>78</v>
      </c>
      <c r="D33" s="221" t="s">
        <v>27</v>
      </c>
      <c r="E33" s="220" t="s">
        <v>314</v>
      </c>
      <c r="F33" s="220" t="s">
        <v>79</v>
      </c>
      <c r="G33" s="217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216" t="s">
        <v>52</v>
      </c>
      <c r="O33" s="8"/>
      <c r="P33" s="5"/>
    </row>
    <row r="34" spans="1:16" ht="40.5" customHeight="1" outlineLevel="1" x14ac:dyDescent="0.25">
      <c r="A34" s="548">
        <v>19</v>
      </c>
      <c r="B34" s="554" t="s">
        <v>80</v>
      </c>
      <c r="C34" s="548" t="s">
        <v>81</v>
      </c>
      <c r="D34" s="548" t="s">
        <v>277</v>
      </c>
      <c r="E34" s="548" t="s">
        <v>315</v>
      </c>
      <c r="F34" s="216" t="s">
        <v>82</v>
      </c>
      <c r="G34" s="217" t="s">
        <v>29</v>
      </c>
      <c r="H34" s="42">
        <v>22000000</v>
      </c>
      <c r="I34" s="32">
        <v>21247150.510000002</v>
      </c>
      <c r="J34" s="219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548" t="s">
        <v>439</v>
      </c>
      <c r="O34" s="8"/>
      <c r="P34" s="5"/>
    </row>
    <row r="35" spans="1:16" ht="31.5" customHeight="1" outlineLevel="1" x14ac:dyDescent="0.25">
      <c r="A35" s="548"/>
      <c r="B35" s="554"/>
      <c r="C35" s="548"/>
      <c r="D35" s="548"/>
      <c r="E35" s="548"/>
      <c r="F35" s="216" t="s">
        <v>85</v>
      </c>
      <c r="G35" s="217" t="s">
        <v>29</v>
      </c>
      <c r="H35" s="42">
        <v>14500000</v>
      </c>
      <c r="I35" s="32">
        <v>14491281.059999999</v>
      </c>
      <c r="J35" s="219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548"/>
      <c r="O35" s="8"/>
      <c r="P35" s="5"/>
    </row>
    <row r="36" spans="1:16" ht="42.75" customHeight="1" outlineLevel="1" x14ac:dyDescent="0.25">
      <c r="A36" s="548"/>
      <c r="B36" s="554"/>
      <c r="C36" s="548"/>
      <c r="D36" s="548"/>
      <c r="E36" s="548"/>
      <c r="F36" s="216" t="s">
        <v>86</v>
      </c>
      <c r="G36" s="217" t="s">
        <v>29</v>
      </c>
      <c r="H36" s="42">
        <v>14500000</v>
      </c>
      <c r="I36" s="32">
        <v>14500000.000000002</v>
      </c>
      <c r="J36" s="219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548"/>
      <c r="O36" s="8"/>
      <c r="P36" s="5"/>
    </row>
    <row r="37" spans="1:16" ht="94.5" customHeight="1" outlineLevel="1" x14ac:dyDescent="0.25">
      <c r="A37" s="216">
        <v>20</v>
      </c>
      <c r="B37" s="216" t="s">
        <v>88</v>
      </c>
      <c r="C37" s="222" t="s">
        <v>89</v>
      </c>
      <c r="D37" s="221" t="s">
        <v>69</v>
      </c>
      <c r="E37" s="220" t="s">
        <v>316</v>
      </c>
      <c r="F37" s="221" t="s">
        <v>90</v>
      </c>
      <c r="G37" s="221" t="s">
        <v>71</v>
      </c>
      <c r="H37" s="224">
        <v>26409000000</v>
      </c>
      <c r="I37" s="32">
        <v>26399286331</v>
      </c>
      <c r="J37" s="35">
        <v>7.4999999999999997E-3</v>
      </c>
      <c r="K37" s="32">
        <f>7357230331.16835+1131704010/2.615+1153775484/2.666</f>
        <v>8222778331.1683502</v>
      </c>
      <c r="L37" s="32">
        <f>2607354309.06995+188428717.2/2.615+185536580.8/2.666</f>
        <v>2749004796.0961809</v>
      </c>
      <c r="M37" s="218">
        <f t="shared" ref="M37:M45" si="1">I37-K37</f>
        <v>18176507999.83165</v>
      </c>
      <c r="N37" s="216" t="s">
        <v>91</v>
      </c>
      <c r="O37" s="8"/>
      <c r="P37" s="5"/>
    </row>
    <row r="38" spans="1:16" ht="51.75" customHeight="1" outlineLevel="1" x14ac:dyDescent="0.25">
      <c r="A38" s="216">
        <v>21</v>
      </c>
      <c r="B38" s="222" t="s">
        <v>25</v>
      </c>
      <c r="C38" s="216" t="s">
        <v>92</v>
      </c>
      <c r="D38" s="216" t="s">
        <v>93</v>
      </c>
      <c r="E38" s="220" t="s">
        <v>317</v>
      </c>
      <c r="F38" s="221" t="s">
        <v>94</v>
      </c>
      <c r="G38" s="217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218">
        <f t="shared" si="1"/>
        <v>3.0000001192092896E-2</v>
      </c>
      <c r="N38" s="216" t="s">
        <v>76</v>
      </c>
      <c r="O38" s="8"/>
      <c r="P38" s="5"/>
    </row>
    <row r="39" spans="1:16" ht="63.75" customHeight="1" outlineLevel="1" x14ac:dyDescent="0.25">
      <c r="A39" s="216">
        <v>22</v>
      </c>
      <c r="B39" s="222" t="s">
        <v>95</v>
      </c>
      <c r="C39" s="216" t="s">
        <v>92</v>
      </c>
      <c r="D39" s="216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218">
        <f t="shared" si="1"/>
        <v>753042857.00000012</v>
      </c>
      <c r="N39" s="216" t="s">
        <v>76</v>
      </c>
      <c r="O39" s="8"/>
      <c r="P39" s="5"/>
    </row>
    <row r="40" spans="1:16" ht="63.75" customHeight="1" outlineLevel="1" x14ac:dyDescent="0.25">
      <c r="A40" s="216">
        <v>23</v>
      </c>
      <c r="B40" s="222" t="s">
        <v>95</v>
      </c>
      <c r="C40" s="216" t="s">
        <v>98</v>
      </c>
      <c r="D40" s="216" t="s">
        <v>463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35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218">
        <f t="shared" si="1"/>
        <v>15138095238</v>
      </c>
      <c r="N40" s="216" t="s">
        <v>76</v>
      </c>
      <c r="O40" s="8"/>
      <c r="P40" s="5"/>
    </row>
    <row r="41" spans="1:16" ht="63.75" customHeight="1" outlineLevel="1" x14ac:dyDescent="0.25">
      <c r="A41" s="216">
        <v>24</v>
      </c>
      <c r="B41" s="222" t="s">
        <v>95</v>
      </c>
      <c r="C41" s="216" t="s">
        <v>278</v>
      </c>
      <c r="D41" s="216" t="s">
        <v>463</v>
      </c>
      <c r="E41" s="43"/>
      <c r="F41" s="32" t="s">
        <v>265</v>
      </c>
      <c r="G41" s="40" t="s">
        <v>2</v>
      </c>
      <c r="H41" s="32">
        <v>25000000000</v>
      </c>
      <c r="I41" s="32">
        <v>25000000000</v>
      </c>
      <c r="J41" s="35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218">
        <f t="shared" si="1"/>
        <v>22619047619.099998</v>
      </c>
      <c r="N41" s="216" t="s">
        <v>76</v>
      </c>
      <c r="O41" s="8"/>
      <c r="P41" s="5"/>
    </row>
    <row r="42" spans="1:16" ht="57.75" customHeight="1" outlineLevel="1" x14ac:dyDescent="0.25">
      <c r="A42" s="548">
        <v>25</v>
      </c>
      <c r="B42" s="554" t="s">
        <v>95</v>
      </c>
      <c r="C42" s="548" t="s">
        <v>100</v>
      </c>
      <c r="D42" s="221" t="s">
        <v>472</v>
      </c>
      <c r="E42" s="552" t="s">
        <v>321</v>
      </c>
      <c r="F42" s="583" t="s">
        <v>102</v>
      </c>
      <c r="G42" s="217" t="s">
        <v>51</v>
      </c>
      <c r="H42" s="36">
        <v>270000000</v>
      </c>
      <c r="I42" s="32">
        <v>173574580.28</v>
      </c>
      <c r="J42" s="584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218">
        <f t="shared" si="1"/>
        <v>96775947.179713488</v>
      </c>
      <c r="N42" s="548" t="s">
        <v>84</v>
      </c>
      <c r="O42" s="8"/>
      <c r="P42" s="5"/>
    </row>
    <row r="43" spans="1:16" ht="57.75" customHeight="1" outlineLevel="1" x14ac:dyDescent="0.25">
      <c r="A43" s="548"/>
      <c r="B43" s="554"/>
      <c r="C43" s="548"/>
      <c r="D43" s="216" t="s">
        <v>463</v>
      </c>
      <c r="E43" s="552"/>
      <c r="F43" s="583"/>
      <c r="G43" s="40" t="s">
        <v>2</v>
      </c>
      <c r="H43" s="36">
        <v>1265847400</v>
      </c>
      <c r="I43" s="32">
        <f>9509488626+108542329</f>
        <v>9618030955</v>
      </c>
      <c r="J43" s="584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218">
        <f t="shared" si="1"/>
        <v>5311189886.7236805</v>
      </c>
      <c r="N43" s="548"/>
      <c r="O43" s="8"/>
      <c r="P43" s="5"/>
    </row>
    <row r="44" spans="1:16" ht="57.75" customHeight="1" outlineLevel="1" x14ac:dyDescent="0.25">
      <c r="A44" s="216">
        <v>26</v>
      </c>
      <c r="B44" s="222" t="s">
        <v>95</v>
      </c>
      <c r="C44" s="216" t="s">
        <v>103</v>
      </c>
      <c r="D44" s="553" t="s">
        <v>49</v>
      </c>
      <c r="E44" s="220" t="s">
        <v>322</v>
      </c>
      <c r="F44" s="32" t="s">
        <v>104</v>
      </c>
      <c r="G44" s="217" t="s">
        <v>51</v>
      </c>
      <c r="H44" s="36">
        <v>8907500</v>
      </c>
      <c r="I44" s="32">
        <v>8907384.7100000009</v>
      </c>
      <c r="J44" s="582" t="s">
        <v>368</v>
      </c>
      <c r="K44" s="32"/>
      <c r="L44" s="32">
        <f>1241236.45+96159781.6/386.38+118034920.8/403.19</f>
        <v>1782862.6500977012</v>
      </c>
      <c r="M44" s="218">
        <f t="shared" si="1"/>
        <v>8907384.7100000009</v>
      </c>
      <c r="N44" s="216" t="s">
        <v>105</v>
      </c>
      <c r="O44" s="8"/>
      <c r="P44" s="5"/>
    </row>
    <row r="45" spans="1:16" ht="78.75" customHeight="1" outlineLevel="1" x14ac:dyDescent="0.25">
      <c r="A45" s="216">
        <v>27</v>
      </c>
      <c r="B45" s="216" t="s">
        <v>88</v>
      </c>
      <c r="C45" s="216" t="s">
        <v>103</v>
      </c>
      <c r="D45" s="553"/>
      <c r="E45" s="220" t="s">
        <v>323</v>
      </c>
      <c r="F45" s="32" t="s">
        <v>104</v>
      </c>
      <c r="G45" s="217" t="s">
        <v>51</v>
      </c>
      <c r="H45" s="36">
        <v>21092500</v>
      </c>
      <c r="I45" s="32">
        <v>21092210.790000003</v>
      </c>
      <c r="J45" s="582"/>
      <c r="K45" s="32"/>
      <c r="L45" s="32">
        <f>3081286.01+227668040/386.38+279535083/403.19</f>
        <v>4363828.0823399555</v>
      </c>
      <c r="M45" s="218">
        <f t="shared" si="1"/>
        <v>21092210.790000003</v>
      </c>
      <c r="N45" s="216" t="s">
        <v>106</v>
      </c>
      <c r="O45" s="8"/>
      <c r="P45" s="5"/>
    </row>
    <row r="46" spans="1:16" s="9" customFormat="1" ht="15" customHeight="1" x14ac:dyDescent="0.25">
      <c r="A46" s="486" t="s">
        <v>115</v>
      </c>
      <c r="B46" s="486"/>
      <c r="C46" s="486"/>
      <c r="D46" s="503" t="s">
        <v>29</v>
      </c>
      <c r="E46" s="503"/>
      <c r="F46" s="503"/>
      <c r="G46" s="54"/>
      <c r="H46" s="11">
        <f>SUMIF($G$5:$G$45,D46,$H$5:$H$45)</f>
        <v>275755742.28000003</v>
      </c>
      <c r="I46" s="11">
        <f>SUMIF($G$5:$G$45,D46,$I$5:$I$45)</f>
        <v>97929055.540000007</v>
      </c>
      <c r="J46" s="11"/>
      <c r="K46" s="11">
        <f>SUMIF($G$5:$G$45,D46,$K$5:$K$45)</f>
        <v>37018590.7398488</v>
      </c>
      <c r="L46" s="11">
        <f>SUMIF($G$5:$G$45,D46,$L$5:$L$45)</f>
        <v>16520985.737643212</v>
      </c>
      <c r="M46" s="11">
        <f>SUMIF($G$5:$G$45,D46,$M$5:$M$45)</f>
        <v>61672033.230151191</v>
      </c>
      <c r="N46" s="11"/>
      <c r="O46" s="8"/>
      <c r="P46" s="5"/>
    </row>
    <row r="47" spans="1:16" s="9" customFormat="1" ht="15" customHeight="1" x14ac:dyDescent="0.25">
      <c r="A47" s="486"/>
      <c r="B47" s="486"/>
      <c r="C47" s="486"/>
      <c r="D47" s="503" t="s">
        <v>2</v>
      </c>
      <c r="E47" s="503"/>
      <c r="F47" s="503"/>
      <c r="G47" s="54"/>
      <c r="H47" s="11">
        <f>SUMIF($G$5:$G$45,D47,$H$5:$H$45)</f>
        <v>48463515745.900002</v>
      </c>
      <c r="I47" s="11">
        <f>SUMIF($G$5:$G$45,D47,$I$5:$I$45)</f>
        <v>67745795280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55053781197.523682</v>
      </c>
      <c r="N47" s="11"/>
      <c r="O47" s="8"/>
      <c r="P47" s="5"/>
    </row>
    <row r="48" spans="1:16" s="9" customFormat="1" ht="15" customHeight="1" x14ac:dyDescent="0.25">
      <c r="A48" s="486"/>
      <c r="B48" s="486"/>
      <c r="C48" s="486"/>
      <c r="D48" s="503" t="s">
        <v>51</v>
      </c>
      <c r="E48" s="503"/>
      <c r="F48" s="503"/>
      <c r="G48" s="54"/>
      <c r="H48" s="11">
        <f>SUMIF($G$5:$G$45,D48,$H$5:$H$45)</f>
        <v>443654882.94000006</v>
      </c>
      <c r="I48" s="11">
        <f>SUMIF($G$5:$G$45,D48,$I$5:$I$45)</f>
        <v>327270356.74000001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223138015.88417113</v>
      </c>
      <c r="N48" s="11"/>
      <c r="O48" s="8"/>
      <c r="P48" s="5"/>
    </row>
    <row r="49" spans="1:16" s="9" customFormat="1" ht="15" customHeight="1" x14ac:dyDescent="0.25">
      <c r="A49" s="486"/>
      <c r="B49" s="486"/>
      <c r="C49" s="486"/>
      <c r="D49" s="503" t="s">
        <v>71</v>
      </c>
      <c r="E49" s="503"/>
      <c r="F49" s="503"/>
      <c r="G49" s="54"/>
      <c r="H49" s="11">
        <f>SUMIF($G$5:$G$45,D49,$H$5:$H$45)</f>
        <v>31777311969</v>
      </c>
      <c r="I49" s="11">
        <f>SUMIF($G$5:$G$45,D49,$I$5:$I$45)</f>
        <v>31859249643</v>
      </c>
      <c r="J49" s="11"/>
      <c r="K49" s="11">
        <f>SUMIF($G$5:$G$45,D49,$K$5:$K$45)</f>
        <v>12178517548.709158</v>
      </c>
      <c r="L49" s="11">
        <f>SUMIF($G$5:$G$45,D49,$L$5:$L$45)</f>
        <v>3571514171.4328051</v>
      </c>
      <c r="M49" s="11">
        <f>SUMIF($G$5:$G$45,D49,$M$5:$M$45)</f>
        <v>19680732094.29084</v>
      </c>
      <c r="N49" s="11"/>
      <c r="O49" s="8"/>
      <c r="P49" s="5"/>
    </row>
    <row r="50" spans="1:16" s="9" customFormat="1" ht="15" customHeight="1" x14ac:dyDescent="0.25">
      <c r="A50" s="486"/>
      <c r="B50" s="486"/>
      <c r="C50" s="486"/>
      <c r="D50" s="503" t="s">
        <v>61</v>
      </c>
      <c r="E50" s="503"/>
      <c r="F50" s="503"/>
      <c r="G50" s="54"/>
      <c r="H50" s="11">
        <f>SUMIF($G$5:$G$45,D50,$H$5:$H$45)</f>
        <v>24086688</v>
      </c>
      <c r="I50" s="11">
        <f>SUMIF($G$5:$G$45,D50,$I$5:$I$45)</f>
        <v>18384172.012149811</v>
      </c>
      <c r="J50" s="11"/>
      <c r="K50" s="11">
        <f>SUMIF($G$5:$G$45,D50,$K$5:$K$45)</f>
        <v>3889303.4021576373</v>
      </c>
      <c r="L50" s="11">
        <f>SUMIF($G$5:$G$45,D50,$L$5:$L$45)</f>
        <v>2687639.4595199237</v>
      </c>
      <c r="M50" s="11">
        <f>SUMIF($G$5:$G$45,D50,$M$5:$M$45)</f>
        <v>14494868.609992173</v>
      </c>
      <c r="N50" s="11"/>
      <c r="O50" s="8"/>
      <c r="P50" s="5"/>
    </row>
    <row r="51" spans="1:16" ht="78" customHeight="1" outlineLevel="1" x14ac:dyDescent="0.25">
      <c r="A51" s="216">
        <v>28</v>
      </c>
      <c r="B51" s="222" t="s">
        <v>116</v>
      </c>
      <c r="C51" s="216" t="s">
        <v>117</v>
      </c>
      <c r="D51" s="221" t="s">
        <v>118</v>
      </c>
      <c r="E51" s="220" t="s">
        <v>324</v>
      </c>
      <c r="F51" s="220" t="s">
        <v>119</v>
      </c>
      <c r="G51" s="217" t="s">
        <v>29</v>
      </c>
      <c r="H51" s="32">
        <v>5000000</v>
      </c>
      <c r="I51" s="32">
        <v>5000000</v>
      </c>
      <c r="J51" s="35" t="s">
        <v>120</v>
      </c>
      <c r="K51" s="32">
        <f>4166666.69+208333.33+88124985.9/423+87866652.7/421.76</f>
        <v>4791666.6202181326</v>
      </c>
      <c r="L51" s="32">
        <f>553011.29+6019459.2/423+4555355.1/421.76</f>
        <v>578042.51297989383</v>
      </c>
      <c r="M51" s="32">
        <f t="shared" ref="M51:M56" si="2">I51-K51</f>
        <v>208333.37978186738</v>
      </c>
      <c r="N51" s="216" t="s">
        <v>76</v>
      </c>
      <c r="P51" s="5"/>
    </row>
    <row r="52" spans="1:16" ht="71.25" customHeight="1" outlineLevel="1" x14ac:dyDescent="0.25">
      <c r="A52" s="216">
        <v>29</v>
      </c>
      <c r="B52" s="554" t="s">
        <v>121</v>
      </c>
      <c r="C52" s="216" t="s">
        <v>122</v>
      </c>
      <c r="D52" s="221" t="s">
        <v>118</v>
      </c>
      <c r="E52" s="220" t="s">
        <v>325</v>
      </c>
      <c r="F52" s="220" t="s">
        <v>123</v>
      </c>
      <c r="G52" s="217" t="s">
        <v>29</v>
      </c>
      <c r="H52" s="32">
        <v>5000000</v>
      </c>
      <c r="I52" s="32">
        <v>5000000</v>
      </c>
      <c r="J52" s="35" t="s">
        <v>120</v>
      </c>
      <c r="K52" s="32">
        <f>3125000+208333.33+88124985.9/423+87866652.7/421.76</f>
        <v>3749999.9302181336</v>
      </c>
      <c r="L52" s="32">
        <f>320254.8+16091046.9/423+15943700.8/421.76</f>
        <v>396097.88072837633</v>
      </c>
      <c r="M52" s="32">
        <f t="shared" si="2"/>
        <v>1250000.0697818664</v>
      </c>
      <c r="N52" s="548" t="s">
        <v>76</v>
      </c>
      <c r="P52" s="5"/>
    </row>
    <row r="53" spans="1:16" ht="71.25" customHeight="1" outlineLevel="1" x14ac:dyDescent="0.25">
      <c r="A53" s="216">
        <v>30</v>
      </c>
      <c r="B53" s="554"/>
      <c r="C53" s="216"/>
      <c r="D53" s="221" t="s">
        <v>463</v>
      </c>
      <c r="E53" s="220"/>
      <c r="F53" s="220"/>
      <c r="G53" s="217" t="s">
        <v>2</v>
      </c>
      <c r="H53" s="32"/>
      <c r="I53" s="32">
        <v>66094595</v>
      </c>
      <c r="J53" s="35"/>
      <c r="K53" s="32">
        <f>6609471.44+6609433.4+6609473.7+6609459.5</f>
        <v>26437838.039999999</v>
      </c>
      <c r="L53" s="32">
        <f>1088882.59773529+1190830.4+1204391.2</f>
        <v>3484104.19773529</v>
      </c>
      <c r="M53" s="32">
        <f t="shared" si="2"/>
        <v>39656756.960000001</v>
      </c>
      <c r="N53" s="548"/>
      <c r="P53" s="5"/>
    </row>
    <row r="54" spans="1:16" ht="55.5" customHeight="1" outlineLevel="1" x14ac:dyDescent="0.25">
      <c r="A54" s="216">
        <v>31</v>
      </c>
      <c r="B54" s="222" t="s">
        <v>124</v>
      </c>
      <c r="C54" s="216" t="s">
        <v>125</v>
      </c>
      <c r="D54" s="221" t="s">
        <v>126</v>
      </c>
      <c r="E54" s="220" t="s">
        <v>326</v>
      </c>
      <c r="F54" s="220" t="s">
        <v>127</v>
      </c>
      <c r="G54" s="217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3227272.74+97124988.4/427.35+96136352.1/423+95854533.9/421.76</f>
        <v>3909090.8400054076</v>
      </c>
      <c r="L54" s="32">
        <f>475298.336411511+13707853.3/421.76</f>
        <v>507799.88539671584</v>
      </c>
      <c r="M54" s="32">
        <f t="shared" si="2"/>
        <v>1090909.1599945924</v>
      </c>
      <c r="N54" s="216" t="s">
        <v>76</v>
      </c>
      <c r="P54" s="5"/>
    </row>
    <row r="55" spans="1:16" ht="57" customHeight="1" outlineLevel="1" x14ac:dyDescent="0.25">
      <c r="A55" s="548">
        <v>32</v>
      </c>
      <c r="B55" s="554" t="s">
        <v>128</v>
      </c>
      <c r="C55" s="548" t="s">
        <v>129</v>
      </c>
      <c r="D55" s="221" t="s">
        <v>126</v>
      </c>
      <c r="E55" s="220" t="s">
        <v>327</v>
      </c>
      <c r="F55" s="220" t="s">
        <v>130</v>
      </c>
      <c r="G55" s="217" t="s">
        <v>29</v>
      </c>
      <c r="H55" s="32">
        <v>5000000</v>
      </c>
      <c r="I55" s="32">
        <v>3000000</v>
      </c>
      <c r="J55" s="249" t="s">
        <v>279</v>
      </c>
      <c r="K55" s="32">
        <f>676724.137931034+46797420.6/423+46660236.7/421.76</f>
        <v>897988.53799742239</v>
      </c>
      <c r="L55" s="32">
        <f>222742.9+6254858.7/423+5914494.4/421.76</f>
        <v>251553.16494688921</v>
      </c>
      <c r="M55" s="32">
        <f t="shared" si="2"/>
        <v>2102011.4620025777</v>
      </c>
      <c r="N55" s="548" t="s">
        <v>76</v>
      </c>
      <c r="P55" s="5"/>
    </row>
    <row r="56" spans="1:16" ht="57" customHeight="1" outlineLevel="1" x14ac:dyDescent="0.25">
      <c r="A56" s="548"/>
      <c r="B56" s="554"/>
      <c r="C56" s="548"/>
      <c r="D56" s="221" t="s">
        <v>463</v>
      </c>
      <c r="E56" s="220" t="s">
        <v>327</v>
      </c>
      <c r="F56" s="220" t="s">
        <v>266</v>
      </c>
      <c r="G56" s="217" t="s">
        <v>2</v>
      </c>
      <c r="H56" s="32"/>
      <c r="I56" s="32">
        <v>94369557.609999999</v>
      </c>
      <c r="J56" s="249">
        <v>1.404E-2</v>
      </c>
      <c r="K56" s="32">
        <f>9751561.92837819+3148517+4073473.9</f>
        <v>16973552.828378189</v>
      </c>
      <c r="L56" s="32">
        <f>1328413.8+491137.6+435674.1</f>
        <v>2255225.5</v>
      </c>
      <c r="M56" s="32">
        <f t="shared" si="2"/>
        <v>77396004.781621814</v>
      </c>
      <c r="N56" s="548"/>
      <c r="P56" s="5"/>
    </row>
    <row r="57" spans="1:16" s="9" customFormat="1" ht="15" customHeight="1" x14ac:dyDescent="0.25">
      <c r="A57" s="486" t="s">
        <v>131</v>
      </c>
      <c r="B57" s="486"/>
      <c r="C57" s="486"/>
      <c r="D57" s="503" t="s">
        <v>29</v>
      </c>
      <c r="E57" s="503"/>
      <c r="F57" s="503"/>
      <c r="G57" s="54"/>
      <c r="H57" s="11">
        <f>SUMIF($G$51:$G$56,D57,$H$51:$H$56)</f>
        <v>20000000</v>
      </c>
      <c r="I57" s="11">
        <f>SUMIF($G$51:$G$56,D57,$I$51:$I$56)</f>
        <v>18000000</v>
      </c>
      <c r="J57" s="11"/>
      <c r="K57" s="11">
        <f>SUMIF($G$51:$G$56,D57,$K$51:$K$56)</f>
        <v>13348745.928439096</v>
      </c>
      <c r="L57" s="11">
        <f>SUMIF($G$51:$G$56,D57,$L$51:$L$56)</f>
        <v>1733493.4440518753</v>
      </c>
      <c r="M57" s="11">
        <f>SUMIF($G$51:$G$56,D57,$M$51:$M$56)</f>
        <v>4651254.0715609044</v>
      </c>
      <c r="N57" s="11"/>
      <c r="O57" s="8"/>
      <c r="P57" s="5"/>
    </row>
    <row r="58" spans="1:16" s="9" customFormat="1" ht="15" customHeight="1" x14ac:dyDescent="0.25">
      <c r="A58" s="486"/>
      <c r="B58" s="486"/>
      <c r="C58" s="486"/>
      <c r="D58" s="503" t="s">
        <v>2</v>
      </c>
      <c r="E58" s="503"/>
      <c r="F58" s="503"/>
      <c r="G58" s="54"/>
      <c r="H58" s="11">
        <f>SUMIF($G$51:$G$56,D58,$H$51:$H$56)</f>
        <v>0</v>
      </c>
      <c r="I58" s="11">
        <f>SUMIF($G$51:$G$56,D58,$I$51:$I$56)</f>
        <v>160464152.61000001</v>
      </c>
      <c r="J58" s="11"/>
      <c r="K58" s="11">
        <f>SUMIF($G$51:$G$56,D58,$K$51:$K$56)</f>
        <v>43411390.868378192</v>
      </c>
      <c r="L58" s="11">
        <f>SUMIF($G$51:$G$56,D58,$L$51:$L$56)</f>
        <v>5739329.69773529</v>
      </c>
      <c r="M58" s="11">
        <f>SUMIF($G$51:$G$56,D58,$M$51:$M$56)</f>
        <v>117052761.74162182</v>
      </c>
      <c r="N58" s="11"/>
      <c r="O58" s="8"/>
      <c r="P58" s="5"/>
    </row>
    <row r="59" spans="1:16" s="9" customFormat="1" ht="15" customHeight="1" x14ac:dyDescent="0.25">
      <c r="A59" s="486"/>
      <c r="B59" s="486"/>
      <c r="C59" s="486"/>
      <c r="D59" s="503" t="s">
        <v>51</v>
      </c>
      <c r="E59" s="503"/>
      <c r="F59" s="503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1"/>
      <c r="O59" s="8"/>
      <c r="P59" s="5"/>
    </row>
    <row r="60" spans="1:16" s="9" customFormat="1" ht="15" customHeight="1" x14ac:dyDescent="0.25">
      <c r="A60" s="486"/>
      <c r="B60" s="486"/>
      <c r="C60" s="486"/>
      <c r="D60" s="503" t="s">
        <v>71</v>
      </c>
      <c r="E60" s="503"/>
      <c r="F60" s="503"/>
      <c r="G60" s="54"/>
      <c r="H60" s="11">
        <f>SUMIF($G$51:$G$56,D60,$H$51:$H$56)</f>
        <v>0</v>
      </c>
      <c r="I60" s="11">
        <f>SUMIF($G$51:$G$56,D60,$I$51:$I$56)</f>
        <v>0</v>
      </c>
      <c r="J60" s="11"/>
      <c r="K60" s="11">
        <f>SUMIF($G$51:$G$56,D60,$K$51:$K$56)</f>
        <v>0</v>
      </c>
      <c r="L60" s="11">
        <f>SUMIF($G$51:$G$56,D60,$L$51:$L$56)</f>
        <v>0</v>
      </c>
      <c r="M60" s="11">
        <f>SUMIF($G$51:$G$56,D60,$M$51:$M$56)</f>
        <v>0</v>
      </c>
      <c r="N60" s="11"/>
      <c r="O60" s="8"/>
      <c r="P60" s="5"/>
    </row>
    <row r="61" spans="1:16" s="2" customFormat="1" ht="91.5" customHeight="1" outlineLevel="1" x14ac:dyDescent="0.25">
      <c r="A61" s="216">
        <v>33</v>
      </c>
      <c r="B61" s="216" t="s">
        <v>132</v>
      </c>
      <c r="C61" s="216" t="s">
        <v>133</v>
      </c>
      <c r="D61" s="216" t="s">
        <v>473</v>
      </c>
      <c r="E61" s="58" t="s">
        <v>328</v>
      </c>
      <c r="F61" s="216" t="s">
        <v>134</v>
      </c>
      <c r="G61" s="216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27971909177.5+338144.2+498915.4+526901.3+642474.8</f>
        <v>27973915613.200001</v>
      </c>
      <c r="M61" s="218">
        <f>I61-K61</f>
        <v>8809523809.2999802</v>
      </c>
      <c r="N61" s="216" t="s">
        <v>76</v>
      </c>
      <c r="O61" s="1"/>
      <c r="P61" s="5"/>
    </row>
    <row r="62" spans="1:16" s="2" customFormat="1" ht="91.5" customHeight="1" outlineLevel="1" x14ac:dyDescent="0.25">
      <c r="A62" s="216">
        <v>34</v>
      </c>
      <c r="B62" s="216" t="s">
        <v>132</v>
      </c>
      <c r="C62" s="216" t="s">
        <v>136</v>
      </c>
      <c r="D62" s="216" t="s">
        <v>27</v>
      </c>
      <c r="E62" s="58" t="s">
        <v>329</v>
      </c>
      <c r="F62" s="216" t="s">
        <v>137</v>
      </c>
      <c r="G62" s="216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218">
        <f t="shared" ref="M62:M67" si="3">I62-K62</f>
        <v>2035890300</v>
      </c>
      <c r="N62" s="216" t="s">
        <v>76</v>
      </c>
      <c r="O62" s="1"/>
      <c r="P62" s="5"/>
    </row>
    <row r="63" spans="1:16" ht="121.5" outlineLevel="1" x14ac:dyDescent="0.25">
      <c r="A63" s="216">
        <v>35</v>
      </c>
      <c r="B63" s="222" t="s">
        <v>138</v>
      </c>
      <c r="C63" s="216" t="s">
        <v>139</v>
      </c>
      <c r="D63" s="221" t="s">
        <v>27</v>
      </c>
      <c r="E63" s="220" t="s">
        <v>330</v>
      </c>
      <c r="F63" s="221" t="s">
        <v>140</v>
      </c>
      <c r="G63" s="217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218">
        <f t="shared" si="3"/>
        <v>2514000</v>
      </c>
      <c r="N63" s="216" t="s">
        <v>76</v>
      </c>
      <c r="P63" s="5"/>
    </row>
    <row r="64" spans="1:16" ht="69" customHeight="1" outlineLevel="1" x14ac:dyDescent="0.25">
      <c r="A64" s="216">
        <v>36</v>
      </c>
      <c r="B64" s="222" t="s">
        <v>141</v>
      </c>
      <c r="C64" s="216" t="s">
        <v>142</v>
      </c>
      <c r="D64" s="216" t="s">
        <v>143</v>
      </c>
      <c r="E64" s="223" t="s">
        <v>331</v>
      </c>
      <c r="F64" s="221" t="s">
        <v>144</v>
      </c>
      <c r="G64" s="217" t="s">
        <v>51</v>
      </c>
      <c r="H64" s="218">
        <v>1689937.9</v>
      </c>
      <c r="I64" s="32">
        <v>1689937.9</v>
      </c>
      <c r="J64" s="219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218">
        <f t="shared" si="3"/>
        <v>760802.66999999993</v>
      </c>
      <c r="N64" s="222" t="s">
        <v>76</v>
      </c>
      <c r="P64" s="5"/>
    </row>
    <row r="65" spans="1:16" ht="69.75" customHeight="1" outlineLevel="1" x14ac:dyDescent="0.25">
      <c r="A65" s="216">
        <v>37</v>
      </c>
      <c r="B65" s="222" t="s">
        <v>145</v>
      </c>
      <c r="C65" s="216" t="s">
        <v>146</v>
      </c>
      <c r="D65" s="216" t="s">
        <v>143</v>
      </c>
      <c r="E65" s="223" t="s">
        <v>332</v>
      </c>
      <c r="F65" s="221" t="s">
        <v>147</v>
      </c>
      <c r="G65" s="217" t="s">
        <v>51</v>
      </c>
      <c r="H65" s="218">
        <v>2828000</v>
      </c>
      <c r="I65" s="32">
        <v>2828000</v>
      </c>
      <c r="J65" s="219">
        <v>5.9900000000000002E-2</v>
      </c>
      <c r="K65" s="218">
        <f>1128831.5+47000+47000</f>
        <v>1222831.5</v>
      </c>
      <c r="L65" s="32">
        <f>1731608.85+50775.51+49371.71</f>
        <v>1831756.07</v>
      </c>
      <c r="M65" s="218">
        <f t="shared" si="3"/>
        <v>1605168.5</v>
      </c>
      <c r="N65" s="222" t="s">
        <v>76</v>
      </c>
      <c r="P65" s="5"/>
    </row>
    <row r="66" spans="1:16" s="4" customFormat="1" ht="177" customHeight="1" outlineLevel="1" x14ac:dyDescent="0.25">
      <c r="A66" s="216">
        <v>38</v>
      </c>
      <c r="B66" s="222" t="s">
        <v>148</v>
      </c>
      <c r="C66" s="216" t="s">
        <v>149</v>
      </c>
      <c r="D66" s="216" t="s">
        <v>143</v>
      </c>
      <c r="E66" s="221" t="s">
        <v>333</v>
      </c>
      <c r="F66" s="221" t="s">
        <v>150</v>
      </c>
      <c r="G66" s="216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218">
        <f t="shared" si="3"/>
        <v>1631050848.9000001</v>
      </c>
      <c r="N66" s="222" t="s">
        <v>76</v>
      </c>
      <c r="O66" s="3"/>
      <c r="P66" s="5"/>
    </row>
    <row r="67" spans="1:16" s="4" customFormat="1" ht="169.5" customHeight="1" outlineLevel="1" x14ac:dyDescent="0.25">
      <c r="A67" s="216">
        <v>39</v>
      </c>
      <c r="B67" s="222" t="s">
        <v>148</v>
      </c>
      <c r="C67" s="216" t="s">
        <v>151</v>
      </c>
      <c r="D67" s="216" t="s">
        <v>143</v>
      </c>
      <c r="E67" s="221" t="s">
        <v>334</v>
      </c>
      <c r="F67" s="221" t="s">
        <v>152</v>
      </c>
      <c r="G67" s="221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218">
        <f t="shared" si="3"/>
        <v>2187306400</v>
      </c>
      <c r="N67" s="222" t="s">
        <v>76</v>
      </c>
      <c r="O67" s="3"/>
      <c r="P67" s="5"/>
    </row>
    <row r="68" spans="1:16" s="9" customFormat="1" ht="15" customHeight="1" x14ac:dyDescent="0.25">
      <c r="A68" s="486" t="s">
        <v>153</v>
      </c>
      <c r="B68" s="486"/>
      <c r="C68" s="486"/>
      <c r="D68" s="503" t="s">
        <v>29</v>
      </c>
      <c r="E68" s="503"/>
      <c r="F68" s="503"/>
      <c r="G68" s="54"/>
      <c r="H68" s="11">
        <f>SUMIF($G$61:$G$67,D68,$H$61:$H$67)</f>
        <v>3500000</v>
      </c>
      <c r="I68" s="11">
        <f>SUMIF($G$61:$G$67,D68,$I$61:$I$67)</f>
        <v>3500000</v>
      </c>
      <c r="J68" s="11"/>
      <c r="K68" s="11">
        <f>SUMIF($G$61:$G$67,D68,$K$61:$K$67)</f>
        <v>986000</v>
      </c>
      <c r="L68" s="11">
        <f>SUMIF($G$61:$G$67,D68,$L$61:$L$67)</f>
        <v>449992.92246187496</v>
      </c>
      <c r="M68" s="11">
        <f>SUMIF($G$61:$G$67,D68,$M$61:$M$67)</f>
        <v>2514000</v>
      </c>
      <c r="N68" s="11"/>
      <c r="O68" s="8"/>
      <c r="P68" s="5"/>
    </row>
    <row r="69" spans="1:16" s="9" customFormat="1" ht="15" customHeight="1" x14ac:dyDescent="0.25">
      <c r="A69" s="486"/>
      <c r="B69" s="486"/>
      <c r="C69" s="486"/>
      <c r="D69" s="503" t="s">
        <v>2</v>
      </c>
      <c r="E69" s="503"/>
      <c r="F69" s="503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28775030431.669998</v>
      </c>
      <c r="M69" s="11">
        <f>SUMIF($G$61:$G$67,D69,$M$61:$M$67)</f>
        <v>14663771358.19998</v>
      </c>
      <c r="N69" s="11"/>
      <c r="O69" s="8"/>
      <c r="P69" s="5"/>
    </row>
    <row r="70" spans="1:16" s="9" customFormat="1" ht="15" customHeight="1" x14ac:dyDescent="0.25">
      <c r="A70" s="486"/>
      <c r="B70" s="486"/>
      <c r="C70" s="486"/>
      <c r="D70" s="503" t="s">
        <v>51</v>
      </c>
      <c r="E70" s="503"/>
      <c r="F70" s="503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2151966.73</v>
      </c>
      <c r="L70" s="11">
        <f>SUMIF($G$61:$G$67,D70,$L$61:$L$67)</f>
        <v>3847078.7</v>
      </c>
      <c r="M70" s="11">
        <f>SUMIF($G$61:$G$67,D70,$M$61:$M$67)</f>
        <v>2365971.17</v>
      </c>
      <c r="N70" s="11"/>
      <c r="O70" s="8"/>
      <c r="P70" s="5"/>
    </row>
    <row r="71" spans="1:16" s="9" customFormat="1" ht="14.25" x14ac:dyDescent="0.25">
      <c r="A71" s="486"/>
      <c r="B71" s="486"/>
      <c r="C71" s="486"/>
      <c r="D71" s="503" t="s">
        <v>71</v>
      </c>
      <c r="E71" s="503"/>
      <c r="F71" s="503"/>
      <c r="G71" s="54"/>
      <c r="H71" s="11">
        <f>SUMIF($G$61:$G$67,D71,$H$61:$H$67)</f>
        <v>0</v>
      </c>
      <c r="I71" s="11">
        <f>SUMIF($G$61:$G$67,D71,$I$61:$I$67)</f>
        <v>0</v>
      </c>
      <c r="J71" s="11"/>
      <c r="K71" s="11">
        <f>SUMIF($G$61:$G$67,D71,$K$61:$K$67)</f>
        <v>0</v>
      </c>
      <c r="L71" s="11">
        <f>SUMIF($G$61:$G$67,D71,$L$61:$L$67)</f>
        <v>0</v>
      </c>
      <c r="M71" s="11">
        <f>SUMIF($G$61:$G$67,D71,$M$61:$M$67)</f>
        <v>0</v>
      </c>
      <c r="N71" s="11"/>
      <c r="O71" s="8"/>
      <c r="P71" s="5"/>
    </row>
    <row r="72" spans="1:16" s="2" customFormat="1" ht="77.25" customHeight="1" outlineLevel="1" x14ac:dyDescent="0.25">
      <c r="A72" s="216">
        <v>40</v>
      </c>
      <c r="B72" s="222" t="s">
        <v>154</v>
      </c>
      <c r="C72" s="216" t="s">
        <v>155</v>
      </c>
      <c r="D72" s="216" t="s">
        <v>93</v>
      </c>
      <c r="E72" s="216" t="s">
        <v>335</v>
      </c>
      <c r="F72" s="216" t="s">
        <v>156</v>
      </c>
      <c r="G72" s="217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218">
        <f>I72-K72</f>
        <v>142301</v>
      </c>
      <c r="N72" s="216" t="s">
        <v>157</v>
      </c>
      <c r="O72" s="1"/>
      <c r="P72" s="5"/>
    </row>
    <row r="73" spans="1:16" ht="64.5" customHeight="1" outlineLevel="1" x14ac:dyDescent="0.25">
      <c r="A73" s="216">
        <v>41</v>
      </c>
      <c r="B73" s="222" t="s">
        <v>158</v>
      </c>
      <c r="C73" s="216" t="s">
        <v>159</v>
      </c>
      <c r="D73" s="221" t="s">
        <v>118</v>
      </c>
      <c r="E73" s="220" t="s">
        <v>336</v>
      </c>
      <c r="F73" s="32" t="s">
        <v>160</v>
      </c>
      <c r="G73" s="217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10909.09+3636.36+3636.36+1428217/392.76+1554016/427.35+3636.4+3632.85</f>
        <v>32723.821703756206</v>
      </c>
      <c r="L73" s="32">
        <f>105386.95+361.72+42360.02+4761284/392.76+5116448/427.35+12019.8+11989.6</f>
        <v>196213.21988818215</v>
      </c>
      <c r="M73" s="218">
        <f>I73-K73</f>
        <v>47276.178296243794</v>
      </c>
      <c r="N73" s="216" t="s">
        <v>161</v>
      </c>
      <c r="P73" s="5"/>
    </row>
    <row r="74" spans="1:16" ht="53.25" customHeight="1" outlineLevel="1" x14ac:dyDescent="0.25">
      <c r="A74" s="216">
        <v>42</v>
      </c>
      <c r="B74" s="222" t="s">
        <v>158</v>
      </c>
      <c r="C74" s="216" t="s">
        <v>162</v>
      </c>
      <c r="D74" s="221" t="s">
        <v>126</v>
      </c>
      <c r="E74" s="220" t="s">
        <v>337</v>
      </c>
      <c r="F74" s="32" t="s">
        <v>160</v>
      </c>
      <c r="G74" s="217" t="s">
        <v>29</v>
      </c>
      <c r="H74" s="32">
        <v>8000000</v>
      </c>
      <c r="I74" s="32"/>
      <c r="J74" s="35" t="s">
        <v>44</v>
      </c>
      <c r="K74" s="32"/>
      <c r="L74" s="32"/>
      <c r="M74" s="218">
        <f>I74-K74</f>
        <v>0</v>
      </c>
      <c r="N74" s="216" t="s">
        <v>161</v>
      </c>
      <c r="P74" s="5"/>
    </row>
    <row r="75" spans="1:16" ht="53.25" customHeight="1" outlineLevel="1" x14ac:dyDescent="0.25">
      <c r="A75" s="548">
        <v>43</v>
      </c>
      <c r="B75" s="554" t="s">
        <v>163</v>
      </c>
      <c r="C75" s="548" t="s">
        <v>264</v>
      </c>
      <c r="D75" s="221" t="s">
        <v>118</v>
      </c>
      <c r="E75" s="220" t="s">
        <v>338</v>
      </c>
      <c r="F75" s="548" t="s">
        <v>281</v>
      </c>
      <c r="G75" s="217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218">
        <f t="shared" ref="M75:M97" si="4">I75-K75</f>
        <v>2423571.5699999998</v>
      </c>
      <c r="N75" s="216" t="s">
        <v>76</v>
      </c>
      <c r="P75" s="5"/>
    </row>
    <row r="76" spans="1:16" ht="31.5" customHeight="1" outlineLevel="1" x14ac:dyDescent="0.25">
      <c r="A76" s="548"/>
      <c r="B76" s="554"/>
      <c r="C76" s="548"/>
      <c r="D76" s="221" t="s">
        <v>463</v>
      </c>
      <c r="E76" s="220"/>
      <c r="F76" s="548"/>
      <c r="G76" s="221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218">
        <f t="shared" si="4"/>
        <v>221383583</v>
      </c>
      <c r="N76" s="216"/>
      <c r="P76" s="5"/>
    </row>
    <row r="77" spans="1:16" ht="54" outlineLevel="1" x14ac:dyDescent="0.25">
      <c r="A77" s="216">
        <v>44</v>
      </c>
      <c r="B77" s="222" t="s">
        <v>164</v>
      </c>
      <c r="C77" s="216" t="s">
        <v>165</v>
      </c>
      <c r="D77" s="216" t="s">
        <v>463</v>
      </c>
      <c r="E77" s="220" t="s">
        <v>339</v>
      </c>
      <c r="F77" s="32" t="s">
        <v>166</v>
      </c>
      <c r="G77" s="221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218">
        <f t="shared" si="4"/>
        <v>206418107.09999999</v>
      </c>
      <c r="N77" s="216" t="s">
        <v>76</v>
      </c>
      <c r="P77" s="5"/>
    </row>
    <row r="78" spans="1:16" ht="148.5" outlineLevel="1" x14ac:dyDescent="0.25">
      <c r="A78" s="216">
        <v>45</v>
      </c>
      <c r="B78" s="222" t="s">
        <v>107</v>
      </c>
      <c r="C78" s="216" t="s">
        <v>108</v>
      </c>
      <c r="D78" s="221" t="s">
        <v>101</v>
      </c>
      <c r="E78" s="220" t="s">
        <v>340</v>
      </c>
      <c r="F78" s="32" t="s">
        <v>109</v>
      </c>
      <c r="G78" s="217" t="s">
        <v>51</v>
      </c>
      <c r="H78" s="32">
        <v>4000000</v>
      </c>
      <c r="I78" s="32">
        <v>869162.07</v>
      </c>
      <c r="J78" s="35" t="s">
        <v>44</v>
      </c>
      <c r="K78" s="32">
        <f>465353.9+34986668/397.71+41212635/391.46</f>
        <v>658603.5005344206</v>
      </c>
      <c r="L78" s="32">
        <f>188098.2+7483550/397.71+8032446/391.46</f>
        <v>227433.99995345628</v>
      </c>
      <c r="M78" s="218">
        <f>I78-K78</f>
        <v>210558.56946557935</v>
      </c>
      <c r="N78" s="216" t="s">
        <v>110</v>
      </c>
      <c r="P78" s="5"/>
    </row>
    <row r="79" spans="1:16" s="4" customFormat="1" ht="40.5" outlineLevel="1" x14ac:dyDescent="0.25">
      <c r="A79" s="216">
        <v>46</v>
      </c>
      <c r="B79" s="222" t="s">
        <v>167</v>
      </c>
      <c r="C79" s="216" t="s">
        <v>133</v>
      </c>
      <c r="D79" s="221" t="s">
        <v>473</v>
      </c>
      <c r="E79" s="221" t="s">
        <v>341</v>
      </c>
      <c r="F79" s="221" t="s">
        <v>291</v>
      </c>
      <c r="G79" s="221" t="s">
        <v>2</v>
      </c>
      <c r="H79" s="60">
        <v>50600000</v>
      </c>
      <c r="I79" s="32">
        <v>50600000</v>
      </c>
      <c r="J79" s="222" t="s">
        <v>168</v>
      </c>
      <c r="K79" s="32"/>
      <c r="L79" s="32"/>
      <c r="M79" s="60">
        <f t="shared" si="4"/>
        <v>50600000</v>
      </c>
      <c r="N79" s="216" t="s">
        <v>76</v>
      </c>
      <c r="O79" s="3"/>
      <c r="P79" s="5"/>
    </row>
    <row r="80" spans="1:16" s="4" customFormat="1" ht="40.5" outlineLevel="1" x14ac:dyDescent="0.25">
      <c r="A80" s="216">
        <v>47</v>
      </c>
      <c r="B80" s="222" t="s">
        <v>167</v>
      </c>
      <c r="C80" s="216" t="s">
        <v>133</v>
      </c>
      <c r="D80" s="221" t="s">
        <v>473</v>
      </c>
      <c r="E80" s="221" t="s">
        <v>342</v>
      </c>
      <c r="F80" s="221" t="s">
        <v>292</v>
      </c>
      <c r="G80" s="216" t="s">
        <v>2</v>
      </c>
      <c r="H80" s="60">
        <v>1100000000</v>
      </c>
      <c r="I80" s="32">
        <v>1100000000</v>
      </c>
      <c r="J80" s="222" t="s">
        <v>168</v>
      </c>
      <c r="K80" s="32"/>
      <c r="L80" s="32"/>
      <c r="M80" s="60">
        <f t="shared" si="4"/>
        <v>1100000000</v>
      </c>
      <c r="N80" s="554" t="s">
        <v>267</v>
      </c>
      <c r="O80" s="3"/>
      <c r="P80" s="5"/>
    </row>
    <row r="81" spans="1:16" s="4" customFormat="1" ht="40.5" outlineLevel="1" x14ac:dyDescent="0.25">
      <c r="A81" s="216">
        <v>48</v>
      </c>
      <c r="B81" s="222" t="s">
        <v>167</v>
      </c>
      <c r="C81" s="216" t="s">
        <v>133</v>
      </c>
      <c r="D81" s="221" t="s">
        <v>473</v>
      </c>
      <c r="E81" s="221" t="s">
        <v>343</v>
      </c>
      <c r="F81" s="221" t="s">
        <v>293</v>
      </c>
      <c r="G81" s="216" t="s">
        <v>2</v>
      </c>
      <c r="H81" s="60">
        <v>792386600</v>
      </c>
      <c r="I81" s="32">
        <v>791031693</v>
      </c>
      <c r="J81" s="222" t="s">
        <v>168</v>
      </c>
      <c r="K81" s="32"/>
      <c r="L81" s="32"/>
      <c r="M81" s="60">
        <f t="shared" si="4"/>
        <v>791031693</v>
      </c>
      <c r="N81" s="554"/>
      <c r="O81" s="3"/>
      <c r="P81" s="5"/>
    </row>
    <row r="82" spans="1:16" s="4" customFormat="1" ht="40.5" outlineLevel="1" x14ac:dyDescent="0.25">
      <c r="A82" s="216">
        <v>49</v>
      </c>
      <c r="B82" s="222" t="s">
        <v>167</v>
      </c>
      <c r="C82" s="216" t="s">
        <v>133</v>
      </c>
      <c r="D82" s="221" t="s">
        <v>473</v>
      </c>
      <c r="E82" s="221" t="s">
        <v>344</v>
      </c>
      <c r="F82" s="221" t="s">
        <v>294</v>
      </c>
      <c r="G82" s="216" t="s">
        <v>2</v>
      </c>
      <c r="H82" s="60">
        <v>254672300</v>
      </c>
      <c r="I82" s="32">
        <f>168444408+75498000+5196300+5196300</f>
        <v>254335008</v>
      </c>
      <c r="J82" s="222" t="s">
        <v>168</v>
      </c>
      <c r="K82" s="32"/>
      <c r="L82" s="32"/>
      <c r="M82" s="60">
        <f t="shared" si="4"/>
        <v>254335008</v>
      </c>
      <c r="N82" s="554"/>
      <c r="O82" s="3"/>
      <c r="P82" s="5"/>
    </row>
    <row r="83" spans="1:16" s="4" customFormat="1" ht="40.5" outlineLevel="1" x14ac:dyDescent="0.25">
      <c r="A83" s="216">
        <v>50</v>
      </c>
      <c r="B83" s="222" t="s">
        <v>169</v>
      </c>
      <c r="C83" s="216" t="s">
        <v>133</v>
      </c>
      <c r="D83" s="221" t="s">
        <v>463</v>
      </c>
      <c r="E83" s="221" t="s">
        <v>345</v>
      </c>
      <c r="F83" s="221" t="s">
        <v>170</v>
      </c>
      <c r="G83" s="216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222" t="s">
        <v>171</v>
      </c>
      <c r="O83" s="3"/>
      <c r="P83" s="5"/>
    </row>
    <row r="84" spans="1:16" s="4" customFormat="1" ht="40.5" outlineLevel="1" x14ac:dyDescent="0.25">
      <c r="A84" s="216">
        <v>51</v>
      </c>
      <c r="B84" s="222" t="s">
        <v>172</v>
      </c>
      <c r="C84" s="216" t="s">
        <v>173</v>
      </c>
      <c r="D84" s="221" t="s">
        <v>463</v>
      </c>
      <c r="E84" s="221" t="s">
        <v>346</v>
      </c>
      <c r="F84" s="221" t="s">
        <v>174</v>
      </c>
      <c r="G84" s="216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222" t="s">
        <v>76</v>
      </c>
      <c r="O84" s="3"/>
      <c r="P84" s="5"/>
    </row>
    <row r="85" spans="1:16" ht="94.5" outlineLevel="1" x14ac:dyDescent="0.25">
      <c r="A85" s="216">
        <v>52</v>
      </c>
      <c r="B85" s="222" t="s">
        <v>175</v>
      </c>
      <c r="C85" s="216" t="s">
        <v>173</v>
      </c>
      <c r="D85" s="216" t="s">
        <v>143</v>
      </c>
      <c r="E85" s="216" t="s">
        <v>347</v>
      </c>
      <c r="F85" s="216" t="s">
        <v>176</v>
      </c>
      <c r="G85" s="216" t="s">
        <v>51</v>
      </c>
      <c r="H85" s="40">
        <v>8944984.0899999999</v>
      </c>
      <c r="I85" s="32">
        <v>8944984.0899999999</v>
      </c>
      <c r="J85" s="100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218">
        <f t="shared" si="4"/>
        <v>6216005.8900000006</v>
      </c>
      <c r="N85" s="216" t="s">
        <v>76</v>
      </c>
      <c r="P85" s="5"/>
    </row>
    <row r="86" spans="1:16" ht="55.5" customHeight="1" outlineLevel="1" x14ac:dyDescent="0.25">
      <c r="A86" s="548">
        <v>53</v>
      </c>
      <c r="B86" s="554" t="s">
        <v>177</v>
      </c>
      <c r="C86" s="548" t="s">
        <v>173</v>
      </c>
      <c r="D86" s="548" t="s">
        <v>143</v>
      </c>
      <c r="E86" s="548" t="s">
        <v>348</v>
      </c>
      <c r="F86" s="216" t="s">
        <v>178</v>
      </c>
      <c r="G86" s="216" t="s">
        <v>51</v>
      </c>
      <c r="H86" s="40">
        <v>5217725</v>
      </c>
      <c r="I86" s="32">
        <v>5217725</v>
      </c>
      <c r="J86" s="100">
        <v>7.4999999999999997E-3</v>
      </c>
      <c r="K86" s="32">
        <f>782658.5+52177.25+52177.25</f>
        <v>887013</v>
      </c>
      <c r="L86" s="32">
        <f>538816.19+16480.36</f>
        <v>555296.54999999993</v>
      </c>
      <c r="M86" s="218">
        <f t="shared" si="4"/>
        <v>4330712</v>
      </c>
      <c r="N86" s="548" t="s">
        <v>76</v>
      </c>
      <c r="P86" s="5"/>
    </row>
    <row r="87" spans="1:16" ht="55.5" customHeight="1" outlineLevel="1" x14ac:dyDescent="0.25">
      <c r="A87" s="548"/>
      <c r="B87" s="554"/>
      <c r="C87" s="548"/>
      <c r="D87" s="548"/>
      <c r="E87" s="548"/>
      <c r="F87" s="216" t="s">
        <v>178</v>
      </c>
      <c r="G87" s="216" t="s">
        <v>2</v>
      </c>
      <c r="H87" s="40">
        <v>93025000</v>
      </c>
      <c r="I87" s="32">
        <v>93025000</v>
      </c>
      <c r="J87" s="100">
        <v>7.4999999999999997E-3</v>
      </c>
      <c r="K87" s="32">
        <f>13953750+930250+930250</f>
        <v>15814250</v>
      </c>
      <c r="L87" s="32">
        <f>9237334.28+296030</f>
        <v>9533364.2799999993</v>
      </c>
      <c r="M87" s="218">
        <f t="shared" si="4"/>
        <v>77210750</v>
      </c>
      <c r="N87" s="548"/>
      <c r="P87" s="5"/>
    </row>
    <row r="88" spans="1:16" ht="94.5" outlineLevel="1" x14ac:dyDescent="0.25">
      <c r="A88" s="216">
        <v>54</v>
      </c>
      <c r="B88" s="222" t="s">
        <v>179</v>
      </c>
      <c r="C88" s="216" t="s">
        <v>173</v>
      </c>
      <c r="D88" s="216" t="s">
        <v>143</v>
      </c>
      <c r="E88" s="216" t="s">
        <v>349</v>
      </c>
      <c r="F88" s="216" t="s">
        <v>180</v>
      </c>
      <c r="G88" s="216" t="s">
        <v>51</v>
      </c>
      <c r="H88" s="40">
        <v>1989000</v>
      </c>
      <c r="I88" s="32">
        <v>1989000</v>
      </c>
      <c r="J88" s="100">
        <v>7.4999999999999997E-3</v>
      </c>
      <c r="K88" s="32">
        <f>337118.7+33711.86+33711.86</f>
        <v>404542.42</v>
      </c>
      <c r="L88" s="32">
        <f>177150.18+6084.76</f>
        <v>183234.94</v>
      </c>
      <c r="M88" s="218">
        <f t="shared" si="4"/>
        <v>1584457.58</v>
      </c>
      <c r="N88" s="216" t="s">
        <v>76</v>
      </c>
      <c r="P88" s="5"/>
    </row>
    <row r="89" spans="1:16" ht="108" outlineLevel="1" x14ac:dyDescent="0.25">
      <c r="A89" s="216">
        <v>55</v>
      </c>
      <c r="B89" s="222" t="s">
        <v>295</v>
      </c>
      <c r="C89" s="216" t="s">
        <v>296</v>
      </c>
      <c r="D89" s="216" t="s">
        <v>143</v>
      </c>
      <c r="E89" s="216" t="s">
        <v>350</v>
      </c>
      <c r="F89" s="216" t="s">
        <v>297</v>
      </c>
      <c r="G89" s="216" t="s">
        <v>2</v>
      </c>
      <c r="H89" s="40">
        <v>2047212646</v>
      </c>
      <c r="I89" s="32">
        <v>2047212646</v>
      </c>
      <c r="J89" s="100">
        <v>0.02</v>
      </c>
      <c r="K89" s="32">
        <v>0</v>
      </c>
      <c r="L89" s="32">
        <f>88017538.4+20640391+20640391+20303862+20640391</f>
        <v>170242573.40000001</v>
      </c>
      <c r="M89" s="218">
        <f t="shared" si="4"/>
        <v>2047212646</v>
      </c>
      <c r="N89" s="216" t="s">
        <v>76</v>
      </c>
      <c r="P89" s="5"/>
    </row>
    <row r="90" spans="1:16" ht="310.5" outlineLevel="1" x14ac:dyDescent="0.25">
      <c r="A90" s="216">
        <v>56</v>
      </c>
      <c r="B90" s="222" t="s">
        <v>181</v>
      </c>
      <c r="C90" s="216" t="s">
        <v>182</v>
      </c>
      <c r="D90" s="216" t="s">
        <v>93</v>
      </c>
      <c r="E90" s="216" t="s">
        <v>492</v>
      </c>
      <c r="F90" s="216" t="s">
        <v>183</v>
      </c>
      <c r="G90" s="216" t="s">
        <v>51</v>
      </c>
      <c r="H90" s="40">
        <v>2217000</v>
      </c>
      <c r="I90" s="40">
        <v>2217000</v>
      </c>
      <c r="J90" s="62">
        <v>0.02</v>
      </c>
      <c r="K90" s="32">
        <f>1656550.78+18166.04+7000680/387.28+18122.86+18122.86+32122.86+28837.1+8000+8000+8000+20000</f>
        <v>1833999.0337740141</v>
      </c>
      <c r="L90" s="32">
        <v>1606.14</v>
      </c>
      <c r="M90" s="218">
        <f t="shared" si="4"/>
        <v>383000.9662259859</v>
      </c>
      <c r="N90" s="216" t="s">
        <v>184</v>
      </c>
      <c r="P90" s="5"/>
    </row>
    <row r="91" spans="1:16" ht="91.5" customHeight="1" outlineLevel="1" x14ac:dyDescent="0.25">
      <c r="A91" s="216">
        <v>57</v>
      </c>
      <c r="B91" s="222" t="s">
        <v>284</v>
      </c>
      <c r="C91" s="216" t="s">
        <v>285</v>
      </c>
      <c r="D91" s="216" t="s">
        <v>118</v>
      </c>
      <c r="E91" s="216" t="s">
        <v>352</v>
      </c>
      <c r="F91" s="216" t="s">
        <v>287</v>
      </c>
      <c r="G91" s="216" t="s">
        <v>29</v>
      </c>
      <c r="H91" s="40">
        <f>4199559.68+12720691.2+1113060.48+1966688.64</f>
        <v>20000000</v>
      </c>
      <c r="I91" s="40">
        <f>H91</f>
        <v>20000000</v>
      </c>
      <c r="J91" s="62" t="s">
        <v>288</v>
      </c>
      <c r="K91" s="32"/>
      <c r="L91" s="67">
        <f>77849.88+103888.1+413918.01+520635</f>
        <v>1116290.99</v>
      </c>
      <c r="M91" s="218">
        <f t="shared" si="4"/>
        <v>20000000</v>
      </c>
      <c r="N91" s="216" t="s">
        <v>289</v>
      </c>
      <c r="P91" s="5"/>
    </row>
    <row r="92" spans="1:16" s="4" customFormat="1" ht="38.25" customHeight="1" outlineLevel="1" x14ac:dyDescent="0.25">
      <c r="A92" s="548">
        <v>58</v>
      </c>
      <c r="B92" s="554" t="s">
        <v>185</v>
      </c>
      <c r="C92" s="548" t="s">
        <v>186</v>
      </c>
      <c r="D92" s="548"/>
      <c r="E92" s="553" t="s">
        <v>353</v>
      </c>
      <c r="F92" s="553" t="s">
        <v>187</v>
      </c>
      <c r="G92" s="217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548" t="s">
        <v>76</v>
      </c>
      <c r="O92" s="3"/>
      <c r="P92" s="5"/>
    </row>
    <row r="93" spans="1:16" s="4" customFormat="1" ht="45" customHeight="1" outlineLevel="1" x14ac:dyDescent="0.25">
      <c r="A93" s="548"/>
      <c r="B93" s="554"/>
      <c r="C93" s="548"/>
      <c r="D93" s="548"/>
      <c r="E93" s="553"/>
      <c r="F93" s="553"/>
      <c r="G93" s="217" t="s">
        <v>2</v>
      </c>
      <c r="H93" s="60">
        <v>28883700</v>
      </c>
      <c r="I93" s="32">
        <v>28883700</v>
      </c>
      <c r="J93" s="38"/>
      <c r="K93" s="32"/>
      <c r="L93" s="32"/>
      <c r="M93" s="60">
        <f t="shared" si="4"/>
        <v>28883700</v>
      </c>
      <c r="N93" s="548"/>
      <c r="O93" s="3"/>
      <c r="P93" s="5"/>
    </row>
    <row r="94" spans="1:16" s="2" customFormat="1" ht="40.5" customHeight="1" outlineLevel="1" x14ac:dyDescent="0.25">
      <c r="A94" s="216">
        <v>59</v>
      </c>
      <c r="B94" s="222" t="s">
        <v>111</v>
      </c>
      <c r="C94" s="216" t="s">
        <v>112</v>
      </c>
      <c r="D94" s="216" t="s">
        <v>463</v>
      </c>
      <c r="E94" s="216" t="s">
        <v>354</v>
      </c>
      <c r="F94" s="216" t="s">
        <v>114</v>
      </c>
      <c r="G94" s="216" t="s">
        <v>2</v>
      </c>
      <c r="H94" s="32">
        <v>303444194</v>
      </c>
      <c r="I94" s="32">
        <v>303444194</v>
      </c>
      <c r="J94" s="38">
        <v>0</v>
      </c>
      <c r="K94" s="32"/>
      <c r="L94" s="32"/>
      <c r="M94" s="218">
        <f t="shared" si="4"/>
        <v>303444194</v>
      </c>
      <c r="N94" s="216" t="s">
        <v>76</v>
      </c>
      <c r="O94" s="1"/>
      <c r="P94" s="5"/>
    </row>
    <row r="95" spans="1:16" ht="51" customHeight="1" x14ac:dyDescent="0.25">
      <c r="A95" s="216">
        <v>60</v>
      </c>
      <c r="B95" s="222" t="s">
        <v>440</v>
      </c>
      <c r="C95" s="216" t="s">
        <v>441</v>
      </c>
      <c r="D95" s="216" t="s">
        <v>463</v>
      </c>
      <c r="E95" s="216" t="s">
        <v>442</v>
      </c>
      <c r="F95" s="216" t="s">
        <v>443</v>
      </c>
      <c r="G95" s="216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216" t="s">
        <v>444</v>
      </c>
      <c r="P95" s="5"/>
    </row>
    <row r="96" spans="1:16" ht="155.25" customHeight="1" x14ac:dyDescent="0.25">
      <c r="A96" s="216">
        <v>61</v>
      </c>
      <c r="B96" s="222" t="s">
        <v>481</v>
      </c>
      <c r="C96" s="216" t="s">
        <v>441</v>
      </c>
      <c r="D96" s="216" t="s">
        <v>463</v>
      </c>
      <c r="E96" s="216"/>
      <c r="F96" s="216" t="s">
        <v>482</v>
      </c>
      <c r="G96" s="216" t="s">
        <v>2</v>
      </c>
      <c r="H96" s="32">
        <v>3500000000</v>
      </c>
      <c r="I96" s="32">
        <v>3500000000</v>
      </c>
      <c r="J96" s="62">
        <v>0.08</v>
      </c>
      <c r="K96" s="40"/>
      <c r="L96" s="40"/>
      <c r="M96" s="60">
        <f t="shared" si="4"/>
        <v>3500000000</v>
      </c>
      <c r="N96" s="216" t="s">
        <v>483</v>
      </c>
      <c r="P96" s="5"/>
    </row>
    <row r="97" spans="1:16" s="2" customFormat="1" ht="47.25" customHeight="1" outlineLevel="1" x14ac:dyDescent="0.25">
      <c r="A97" s="216">
        <v>62</v>
      </c>
      <c r="B97" s="216" t="s">
        <v>484</v>
      </c>
      <c r="C97" s="216" t="s">
        <v>441</v>
      </c>
      <c r="D97" s="216" t="s">
        <v>463</v>
      </c>
      <c r="E97" s="58" t="s">
        <v>447</v>
      </c>
      <c r="F97" s="216" t="s">
        <v>263</v>
      </c>
      <c r="G97" s="216" t="s">
        <v>2</v>
      </c>
      <c r="H97" s="32">
        <v>2000000000</v>
      </c>
      <c r="I97" s="32">
        <v>2000000000</v>
      </c>
      <c r="J97" s="35">
        <v>1E-4</v>
      </c>
      <c r="K97" s="32"/>
      <c r="L97" s="32"/>
      <c r="M97" s="218">
        <f t="shared" si="4"/>
        <v>2000000000</v>
      </c>
      <c r="N97" s="216" t="s">
        <v>448</v>
      </c>
      <c r="O97" s="1"/>
      <c r="P97" s="5"/>
    </row>
    <row r="98" spans="1:16" s="2" customFormat="1" ht="47.25" customHeight="1" outlineLevel="1" x14ac:dyDescent="0.25">
      <c r="A98" s="216">
        <v>63</v>
      </c>
      <c r="B98" s="216" t="s">
        <v>188</v>
      </c>
      <c r="C98" s="216" t="s">
        <v>189</v>
      </c>
      <c r="D98" s="216" t="s">
        <v>485</v>
      </c>
      <c r="E98" s="58" t="s">
        <v>355</v>
      </c>
      <c r="F98" s="216" t="s">
        <v>191</v>
      </c>
      <c r="G98" s="216" t="s">
        <v>51</v>
      </c>
      <c r="H98" s="32">
        <v>10000000</v>
      </c>
      <c r="I98" s="32">
        <v>10000000</v>
      </c>
      <c r="J98" s="35" t="s">
        <v>192</v>
      </c>
      <c r="K98" s="32">
        <v>2553676.86</v>
      </c>
      <c r="L98" s="32">
        <f>3533579.15874841+18816925/512.41+16022937.4/426.85+37537.63+37130+36723+37538+'[2]15,08,20 գործող'!$I$55+'[2]15,08,20 գործող'!$I$56+121220</f>
        <v>3953063.4704706864</v>
      </c>
      <c r="M98" s="218">
        <f>I98-K98</f>
        <v>7446323.1400000006</v>
      </c>
      <c r="N98" s="216" t="s">
        <v>193</v>
      </c>
      <c r="O98" s="1"/>
      <c r="P98" s="5"/>
    </row>
    <row r="99" spans="1:16" s="2" customFormat="1" ht="51" customHeight="1" outlineLevel="1" x14ac:dyDescent="0.25">
      <c r="A99" s="216">
        <v>64</v>
      </c>
      <c r="B99" s="216" t="s">
        <v>188</v>
      </c>
      <c r="C99" s="216" t="s">
        <v>133</v>
      </c>
      <c r="D99" s="216" t="s">
        <v>485</v>
      </c>
      <c r="E99" s="58" t="s">
        <v>356</v>
      </c>
      <c r="F99" s="216" t="s">
        <v>194</v>
      </c>
      <c r="G99" s="216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3496438357+79342466+80657534+79342466+79342466+1315069+216021918</f>
        <v>4032460276</v>
      </c>
      <c r="M99" s="218">
        <f>I99-K99</f>
        <v>8000000000</v>
      </c>
      <c r="N99" s="216" t="s">
        <v>196</v>
      </c>
      <c r="O99" s="1"/>
      <c r="P99" s="5"/>
    </row>
    <row r="100" spans="1:16" s="9" customFormat="1" ht="24.75" customHeight="1" x14ac:dyDescent="0.25">
      <c r="A100" s="486" t="s">
        <v>197</v>
      </c>
      <c r="B100" s="486"/>
      <c r="C100" s="486"/>
      <c r="D100" s="503" t="s">
        <v>29</v>
      </c>
      <c r="E100" s="503"/>
      <c r="F100" s="503"/>
      <c r="G100" s="216"/>
      <c r="H100" s="11">
        <f>SUMIF($G$72:$G$99,D100,$H$72:$H$99)</f>
        <v>41500000</v>
      </c>
      <c r="I100" s="11">
        <f>SUMIF($G$72:$G$99,D100,$I$72:$I$99)</f>
        <v>22503571.57</v>
      </c>
      <c r="J100" s="11"/>
      <c r="K100" s="11">
        <f>SUMIF($G$72:$G$99,D100,$K$72:$K$99)</f>
        <v>32723.821703756206</v>
      </c>
      <c r="L100" s="11">
        <f>SUMIF($G$72:$G$99,D100,$L$72:$L$99)</f>
        <v>1312504.2098881821</v>
      </c>
      <c r="M100" s="11">
        <f>SUMIF($G$72:$G$99,D100,$M$72:$M$99)</f>
        <v>22470847.748296242</v>
      </c>
      <c r="N100" s="11"/>
      <c r="O100" s="8"/>
      <c r="P100" s="5"/>
    </row>
    <row r="101" spans="1:16" s="9" customFormat="1" ht="39" customHeight="1" x14ac:dyDescent="0.25">
      <c r="A101" s="486"/>
      <c r="B101" s="486"/>
      <c r="C101" s="486"/>
      <c r="D101" s="503" t="s">
        <v>2</v>
      </c>
      <c r="E101" s="503"/>
      <c r="F101" s="503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4236948781.1799998</v>
      </c>
      <c r="M101" s="11">
        <f>SUMIF($G$72:$G$99,D101,$M$72:$M$99)</f>
        <v>20591275479.099998</v>
      </c>
      <c r="N101" s="11"/>
      <c r="O101" s="8"/>
      <c r="P101" s="5"/>
    </row>
    <row r="102" spans="1:16" s="9" customFormat="1" ht="39" customHeight="1" x14ac:dyDescent="0.25">
      <c r="A102" s="486"/>
      <c r="B102" s="486"/>
      <c r="C102" s="486"/>
      <c r="D102" s="503" t="s">
        <v>51</v>
      </c>
      <c r="E102" s="503"/>
      <c r="F102" s="503"/>
      <c r="G102" s="54"/>
      <c r="H102" s="11">
        <f>SUMIF($G$72:$G$99,D102,$H$72:$H$99)</f>
        <v>32967799.48</v>
      </c>
      <c r="I102" s="11">
        <f>SUMIF($G$72:$G$99,D102,$I$72:$I$99)</f>
        <v>29836961.550000001</v>
      </c>
      <c r="J102" s="11"/>
      <c r="K102" s="11">
        <f>SUMIF($G$72:$G$99,D102,$K$72:$K$99)</f>
        <v>9285844.014308434</v>
      </c>
      <c r="L102" s="11">
        <f>SUMIF($G$72:$G$99,D102,$L$72:$L$99)</f>
        <v>6062849.580424143</v>
      </c>
      <c r="M102" s="11">
        <f>SUMIF($G$72:$G$99,D102,$M$72:$M$99)</f>
        <v>20551117.535691567</v>
      </c>
      <c r="N102" s="11"/>
      <c r="O102" s="8"/>
      <c r="P102" s="5"/>
    </row>
    <row r="103" spans="1:16" s="9" customFormat="1" ht="39" customHeight="1" x14ac:dyDescent="0.25">
      <c r="A103" s="486"/>
      <c r="B103" s="486"/>
      <c r="C103" s="486"/>
      <c r="D103" s="503" t="s">
        <v>71</v>
      </c>
      <c r="E103" s="503"/>
      <c r="F103" s="503"/>
      <c r="G103" s="54"/>
      <c r="H103" s="11">
        <f>SUMIF($G$72:$G$99,D103,$H$72:$H$99)</f>
        <v>0</v>
      </c>
      <c r="I103" s="11">
        <f>SUMIF($G$72:$G$99,D103,$I$72:$I$99)</f>
        <v>0</v>
      </c>
      <c r="J103" s="11"/>
      <c r="K103" s="11">
        <f>SUMIF($G$72:$G$99,D103,$K$72:$K$99)</f>
        <v>0</v>
      </c>
      <c r="L103" s="11">
        <f>SUMIF($G$72:$G$99,D103,$L$72:$L$99)</f>
        <v>0</v>
      </c>
      <c r="M103" s="11">
        <f>SUMIF($G$72:$G$99,D103,$M$72:$M$99)</f>
        <v>0</v>
      </c>
      <c r="N103" s="11"/>
      <c r="O103" s="8"/>
      <c r="P103" s="5"/>
    </row>
    <row r="104" spans="1:16" s="4" customFormat="1" ht="156.75" customHeight="1" outlineLevel="1" x14ac:dyDescent="0.25">
      <c r="A104" s="216">
        <v>65</v>
      </c>
      <c r="B104" s="216" t="s">
        <v>0</v>
      </c>
      <c r="C104" s="216" t="s">
        <v>1</v>
      </c>
      <c r="D104" s="216" t="s">
        <v>463</v>
      </c>
      <c r="E104" s="221" t="s">
        <v>357</v>
      </c>
      <c r="F104" s="221" t="s">
        <v>198</v>
      </c>
      <c r="G104" s="216" t="s">
        <v>2</v>
      </c>
      <c r="H104" s="60">
        <f>3047000000+3000000000</f>
        <v>6047000000</v>
      </c>
      <c r="I104" s="40">
        <v>6000000000</v>
      </c>
      <c r="J104" s="38"/>
      <c r="K104" s="40">
        <f>4439902959+260956717.5+995441267.7+73262192.2+103703140+88648827.6+23704487.9+9999937.1</f>
        <v>5995619529</v>
      </c>
      <c r="L104" s="40"/>
      <c r="M104" s="32">
        <f t="shared" ref="M104:M109" si="5">I104-K104</f>
        <v>4380471</v>
      </c>
      <c r="N104" s="222" t="s">
        <v>76</v>
      </c>
      <c r="O104" s="3"/>
      <c r="P104" s="5"/>
    </row>
    <row r="105" spans="1:16" s="4" customFormat="1" ht="147" customHeight="1" outlineLevel="1" x14ac:dyDescent="0.25">
      <c r="A105" s="216">
        <v>66</v>
      </c>
      <c r="B105" s="548" t="s">
        <v>0</v>
      </c>
      <c r="C105" s="548" t="s">
        <v>7</v>
      </c>
      <c r="D105" s="216" t="s">
        <v>463</v>
      </c>
      <c r="E105" s="221" t="s">
        <v>488</v>
      </c>
      <c r="F105" s="221" t="s">
        <v>9</v>
      </c>
      <c r="G105" s="216" t="s">
        <v>2</v>
      </c>
      <c r="H105" s="32">
        <v>2000000000</v>
      </c>
      <c r="I105" s="40">
        <v>2000000000</v>
      </c>
      <c r="J105" s="38">
        <v>2.7E-2</v>
      </c>
      <c r="K105" s="40"/>
      <c r="L105" s="218">
        <f>68417269.8+13462993.2+49643.9+1421840.5+38566246.5+491534.9+1119195.4+178355+29883.2+10588.6+3022.3</f>
        <v>123750573.30000001</v>
      </c>
      <c r="M105" s="218">
        <f t="shared" si="5"/>
        <v>2000000000</v>
      </c>
      <c r="N105" s="222" t="s">
        <v>76</v>
      </c>
      <c r="O105" s="3"/>
      <c r="P105" s="5"/>
    </row>
    <row r="106" spans="1:16" s="4" customFormat="1" ht="144.75" customHeight="1" outlineLevel="1" x14ac:dyDescent="0.25">
      <c r="A106" s="216">
        <v>67</v>
      </c>
      <c r="B106" s="548"/>
      <c r="C106" s="548"/>
      <c r="D106" s="223" t="s">
        <v>463</v>
      </c>
      <c r="E106" s="221" t="s">
        <v>489</v>
      </c>
      <c r="F106" s="221" t="s">
        <v>11</v>
      </c>
      <c r="G106" s="216" t="s">
        <v>2</v>
      </c>
      <c r="H106" s="32">
        <v>2000000000</v>
      </c>
      <c r="I106" s="40">
        <v>2000000000</v>
      </c>
      <c r="J106" s="38">
        <v>5.7000000000000002E-2</v>
      </c>
      <c r="K106" s="40"/>
      <c r="L106" s="40">
        <f>153819379.6+28421448.8+780809.1+528470.5+2614769.3+283790.1+5159868.8+1406739.9</f>
        <v>193015276.10000002</v>
      </c>
      <c r="M106" s="218">
        <f t="shared" si="5"/>
        <v>2000000000</v>
      </c>
      <c r="N106" s="222" t="s">
        <v>76</v>
      </c>
      <c r="O106" s="3"/>
      <c r="P106" s="5"/>
    </row>
    <row r="107" spans="1:16" s="4" customFormat="1" ht="168" customHeight="1" outlineLevel="1" x14ac:dyDescent="0.25">
      <c r="A107" s="216">
        <v>68</v>
      </c>
      <c r="B107" s="581"/>
      <c r="C107" s="581"/>
      <c r="D107" s="216"/>
      <c r="E107" s="221" t="s">
        <v>490</v>
      </c>
      <c r="F107" s="221" t="s">
        <v>199</v>
      </c>
      <c r="G107" s="216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218">
        <f t="shared" si="5"/>
        <v>5000000000</v>
      </c>
      <c r="N107" s="222" t="s">
        <v>76</v>
      </c>
      <c r="O107" s="3"/>
      <c r="P107" s="5"/>
    </row>
    <row r="108" spans="1:16" s="4" customFormat="1" ht="175.5" outlineLevel="1" x14ac:dyDescent="0.25">
      <c r="A108" s="216">
        <v>69</v>
      </c>
      <c r="B108" s="216" t="s">
        <v>3</v>
      </c>
      <c r="C108" s="216" t="s">
        <v>5</v>
      </c>
      <c r="D108" s="216" t="s">
        <v>463</v>
      </c>
      <c r="E108" s="221" t="s">
        <v>358</v>
      </c>
      <c r="F108" s="221" t="s">
        <v>6</v>
      </c>
      <c r="G108" s="216" t="s">
        <v>2</v>
      </c>
      <c r="H108" s="32">
        <v>562500000</v>
      </c>
      <c r="I108" s="40">
        <v>562500000</v>
      </c>
      <c r="J108" s="38"/>
      <c r="K108" s="40"/>
      <c r="L108" s="40"/>
      <c r="M108" s="218">
        <f t="shared" si="5"/>
        <v>562500000</v>
      </c>
      <c r="N108" s="222" t="s">
        <v>76</v>
      </c>
      <c r="O108" s="3"/>
      <c r="P108" s="5"/>
    </row>
    <row r="109" spans="1:16" s="4" customFormat="1" ht="135" outlineLevel="1" x14ac:dyDescent="0.25">
      <c r="A109" s="216">
        <v>70</v>
      </c>
      <c r="B109" s="216" t="s">
        <v>3</v>
      </c>
      <c r="C109" s="216" t="s">
        <v>4</v>
      </c>
      <c r="D109" s="216" t="s">
        <v>463</v>
      </c>
      <c r="E109" s="221"/>
      <c r="F109" s="221" t="s">
        <v>369</v>
      </c>
      <c r="G109" s="216" t="s">
        <v>2</v>
      </c>
      <c r="H109" s="32">
        <f>2000000000+7300000000</f>
        <v>9300000000</v>
      </c>
      <c r="I109" s="40">
        <f>9024295000</f>
        <v>9024295000</v>
      </c>
      <c r="J109" s="38"/>
      <c r="K109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</f>
        <v>8817579419.8000069</v>
      </c>
      <c r="L109" s="40">
        <f>34040214.6+16030636.8+1797857.1+7375602.5+3983531.1+11814600.3+22459610.6+9668538.8+11671711.4+6908264.6+1329981.6</f>
        <v>127080549.39999999</v>
      </c>
      <c r="M109" s="218">
        <f t="shared" si="5"/>
        <v>206715580.19999313</v>
      </c>
      <c r="N109" s="222" t="s">
        <v>76</v>
      </c>
      <c r="O109" s="3"/>
      <c r="P109" s="5"/>
    </row>
    <row r="110" spans="1:16" s="9" customFormat="1" ht="30" customHeight="1" x14ac:dyDescent="0.25">
      <c r="A110" s="486" t="s">
        <v>200</v>
      </c>
      <c r="B110" s="486"/>
      <c r="C110" s="486"/>
      <c r="D110" s="503" t="s">
        <v>29</v>
      </c>
      <c r="E110" s="503"/>
      <c r="F110" s="503"/>
      <c r="G110" s="217"/>
      <c r="H110" s="11">
        <f>SUMIF($G$104:$G$109,D110,$H$104:$H$109)</f>
        <v>0</v>
      </c>
      <c r="I110" s="11">
        <f>SUMIF($G$104:$G$109,D110,$I$104:$I$109)</f>
        <v>0</v>
      </c>
      <c r="J110" s="11"/>
      <c r="K110" s="11">
        <f>SUMIF($G$104:$G$109,D110,$K$104:$K$109)</f>
        <v>0</v>
      </c>
      <c r="L110" s="11">
        <f>SUMIF($G$104:$G$109,D110,$L$104:$L$109)</f>
        <v>0</v>
      </c>
      <c r="M110" s="11">
        <f>SUMIF($G$104:$G$109,D110,$M$104:$M$109)</f>
        <v>0</v>
      </c>
      <c r="N110" s="11"/>
      <c r="O110" s="3"/>
      <c r="P110" s="5"/>
    </row>
    <row r="111" spans="1:16" s="9" customFormat="1" ht="27" customHeight="1" x14ac:dyDescent="0.25">
      <c r="A111" s="486"/>
      <c r="B111" s="486"/>
      <c r="C111" s="486"/>
      <c r="D111" s="503" t="s">
        <v>2</v>
      </c>
      <c r="E111" s="503"/>
      <c r="F111" s="503"/>
      <c r="G111" s="54"/>
      <c r="H111" s="11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14813198948.800007</v>
      </c>
      <c r="L111" s="11">
        <f>SUMIF($G$104:$G$109,D111,$L$104:$L$109)</f>
        <v>639983383.70000005</v>
      </c>
      <c r="M111" s="11">
        <f>SUMIF($G$104:$G$109,D111,$M$104:$M$109)</f>
        <v>9773596051.1999931</v>
      </c>
      <c r="N111" s="11"/>
      <c r="O111" s="3"/>
      <c r="P111" s="5"/>
    </row>
    <row r="112" spans="1:16" s="9" customFormat="1" ht="28.5" customHeight="1" x14ac:dyDescent="0.25">
      <c r="A112" s="486"/>
      <c r="B112" s="486"/>
      <c r="C112" s="486"/>
      <c r="D112" s="503" t="s">
        <v>51</v>
      </c>
      <c r="E112" s="503"/>
      <c r="F112" s="503"/>
      <c r="G112" s="54"/>
      <c r="H112" s="11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1"/>
      <c r="O112" s="8"/>
      <c r="P112" s="5"/>
    </row>
    <row r="113" spans="1:16" s="9" customFormat="1" ht="30" customHeight="1" x14ac:dyDescent="0.25">
      <c r="A113" s="486"/>
      <c r="B113" s="486"/>
      <c r="C113" s="486"/>
      <c r="D113" s="503" t="s">
        <v>71</v>
      </c>
      <c r="E113" s="503"/>
      <c r="F113" s="503"/>
      <c r="G113" s="54"/>
      <c r="H113" s="11">
        <f>SUMIF($G$104:$G$109,D113,$H$104:$H$109)</f>
        <v>0</v>
      </c>
      <c r="I113" s="11">
        <f>SUMIF($G$104:$G$109,D113,$I$104:$I$109)</f>
        <v>0</v>
      </c>
      <c r="J113" s="11"/>
      <c r="K113" s="11">
        <f>SUMIF($G$104:$G$109,D113,$K$104:$K$109)</f>
        <v>0</v>
      </c>
      <c r="L113" s="11">
        <f>SUMIF($G$104:$G$109,D113,$L$104:$L$109)</f>
        <v>0</v>
      </c>
      <c r="M113" s="11">
        <f>SUMIF($G$104:$G$109,D113,$M$104:$M$109)</f>
        <v>0</v>
      </c>
      <c r="N113" s="11"/>
      <c r="O113" s="8"/>
      <c r="P113" s="5"/>
    </row>
    <row r="114" spans="1:16" s="4" customFormat="1" ht="121.5" outlineLevel="1" x14ac:dyDescent="0.25">
      <c r="A114" s="216">
        <v>71</v>
      </c>
      <c r="B114" s="222" t="s">
        <v>201</v>
      </c>
      <c r="C114" s="222" t="s">
        <v>202</v>
      </c>
      <c r="D114" s="216" t="s">
        <v>463</v>
      </c>
      <c r="E114" s="221" t="s">
        <v>359</v>
      </c>
      <c r="F114" s="221" t="s">
        <v>203</v>
      </c>
      <c r="G114" s="216" t="s">
        <v>2</v>
      </c>
      <c r="H114" s="60">
        <v>574491741</v>
      </c>
      <c r="I114" s="60">
        <v>574491741</v>
      </c>
      <c r="J114" s="35">
        <v>1E-4</v>
      </c>
      <c r="K114" s="60">
        <f>132575017.2</f>
        <v>132575017.2</v>
      </c>
      <c r="L114" s="60">
        <f>85623+14165+39966.7</f>
        <v>139754.70000000001</v>
      </c>
      <c r="M114" s="218">
        <f t="shared" ref="M114:M126" si="6">I114-K114</f>
        <v>441916723.80000001</v>
      </c>
      <c r="N114" s="222" t="s">
        <v>204</v>
      </c>
      <c r="O114" s="3"/>
      <c r="P114" s="5"/>
    </row>
    <row r="115" spans="1:16" s="4" customFormat="1" ht="121.5" outlineLevel="1" x14ac:dyDescent="0.25">
      <c r="A115" s="216">
        <v>72</v>
      </c>
      <c r="B115" s="222" t="s">
        <v>205</v>
      </c>
      <c r="C115" s="222" t="s">
        <v>202</v>
      </c>
      <c r="D115" s="216" t="s">
        <v>463</v>
      </c>
      <c r="E115" s="221" t="s">
        <v>360</v>
      </c>
      <c r="F115" s="221" t="s">
        <v>206</v>
      </c>
      <c r="G115" s="216" t="s">
        <v>2</v>
      </c>
      <c r="H115" s="60">
        <v>98612371</v>
      </c>
      <c r="I115" s="60">
        <v>98612371</v>
      </c>
      <c r="J115" s="35">
        <v>1E-4</v>
      </c>
      <c r="K115" s="60"/>
      <c r="L115" s="60">
        <v>17060</v>
      </c>
      <c r="M115" s="218">
        <f t="shared" si="6"/>
        <v>98612371</v>
      </c>
      <c r="N115" s="222" t="s">
        <v>207</v>
      </c>
      <c r="O115" s="3"/>
      <c r="P115" s="5"/>
    </row>
    <row r="116" spans="1:16" s="4" customFormat="1" ht="121.5" outlineLevel="1" x14ac:dyDescent="0.25">
      <c r="A116" s="216">
        <v>73</v>
      </c>
      <c r="B116" s="222" t="s">
        <v>208</v>
      </c>
      <c r="C116" s="222" t="s">
        <v>202</v>
      </c>
      <c r="D116" s="216" t="s">
        <v>463</v>
      </c>
      <c r="E116" s="221" t="s">
        <v>361</v>
      </c>
      <c r="F116" s="221" t="s">
        <v>209</v>
      </c>
      <c r="G116" s="216" t="s">
        <v>2</v>
      </c>
      <c r="H116" s="60">
        <v>60132468</v>
      </c>
      <c r="I116" s="60">
        <v>60132468</v>
      </c>
      <c r="J116" s="35">
        <v>1E-4</v>
      </c>
      <c r="K116" s="60">
        <f>4625574.5+4625574.5+4625574.5+4625574.5+4625575+4625575+4625575+4625575</f>
        <v>37004598</v>
      </c>
      <c r="L116" s="60">
        <f>10367+1511.2+1400+1500+1500+1000+20000+1000</f>
        <v>38278.199999999997</v>
      </c>
      <c r="M116" s="218">
        <f t="shared" si="6"/>
        <v>23127870</v>
      </c>
      <c r="N116" s="222" t="s">
        <v>210</v>
      </c>
      <c r="O116" s="15"/>
      <c r="P116" s="5"/>
    </row>
    <row r="117" spans="1:16" s="4" customFormat="1" ht="121.5" outlineLevel="1" x14ac:dyDescent="0.25">
      <c r="A117" s="216">
        <v>74</v>
      </c>
      <c r="B117" s="222" t="s">
        <v>211</v>
      </c>
      <c r="C117" s="222" t="s">
        <v>202</v>
      </c>
      <c r="D117" s="216" t="s">
        <v>463</v>
      </c>
      <c r="E117" s="221" t="s">
        <v>362</v>
      </c>
      <c r="F117" s="221" t="s">
        <v>212</v>
      </c>
      <c r="G117" s="216" t="s">
        <v>2</v>
      </c>
      <c r="H117" s="32">
        <f>9500000+12453199</f>
        <v>21953199</v>
      </c>
      <c r="I117" s="60">
        <f>9500000+12453199</f>
        <v>21953199</v>
      </c>
      <c r="J117" s="35">
        <v>1E-4</v>
      </c>
      <c r="K117" s="60"/>
      <c r="L117" s="60">
        <v>3720</v>
      </c>
      <c r="M117" s="218">
        <f t="shared" si="6"/>
        <v>21953199</v>
      </c>
      <c r="N117" s="222" t="s">
        <v>213</v>
      </c>
      <c r="O117" s="15"/>
      <c r="P117" s="5"/>
    </row>
    <row r="118" spans="1:16" s="4" customFormat="1" ht="129.75" customHeight="1" outlineLevel="1" x14ac:dyDescent="0.25">
      <c r="A118" s="216">
        <v>75</v>
      </c>
      <c r="B118" s="222" t="s">
        <v>214</v>
      </c>
      <c r="C118" s="222" t="s">
        <v>202</v>
      </c>
      <c r="D118" s="216" t="s">
        <v>463</v>
      </c>
      <c r="E118" s="221" t="s">
        <v>362</v>
      </c>
      <c r="F118" s="221" t="s">
        <v>215</v>
      </c>
      <c r="G118" s="216" t="s">
        <v>2</v>
      </c>
      <c r="H118" s="60">
        <v>15801400</v>
      </c>
      <c r="I118" s="60">
        <v>15801400</v>
      </c>
      <c r="J118" s="35">
        <v>1E-4</v>
      </c>
      <c r="K118" s="60"/>
      <c r="L118" s="60">
        <v>3500</v>
      </c>
      <c r="M118" s="218">
        <f t="shared" si="6"/>
        <v>15801400</v>
      </c>
      <c r="N118" s="222" t="s">
        <v>216</v>
      </c>
      <c r="O118" s="15"/>
      <c r="P118" s="5"/>
    </row>
    <row r="119" spans="1:16" s="4" customFormat="1" ht="129.75" customHeight="1" outlineLevel="1" x14ac:dyDescent="0.25">
      <c r="A119" s="216">
        <v>76</v>
      </c>
      <c r="B119" s="222" t="s">
        <v>217</v>
      </c>
      <c r="C119" s="222" t="s">
        <v>202</v>
      </c>
      <c r="D119" s="216" t="s">
        <v>463</v>
      </c>
      <c r="E119" s="221" t="s">
        <v>362</v>
      </c>
      <c r="F119" s="221" t="s">
        <v>215</v>
      </c>
      <c r="G119" s="216" t="s">
        <v>2</v>
      </c>
      <c r="H119" s="60">
        <v>2554000</v>
      </c>
      <c r="I119" s="60">
        <v>2554000</v>
      </c>
      <c r="J119" s="35">
        <v>1E-4</v>
      </c>
      <c r="K119" s="60"/>
      <c r="L119" s="60">
        <f>500</f>
        <v>500</v>
      </c>
      <c r="M119" s="218">
        <f t="shared" si="6"/>
        <v>2554000</v>
      </c>
      <c r="N119" s="222" t="s">
        <v>218</v>
      </c>
      <c r="O119" s="15"/>
      <c r="P119" s="5"/>
    </row>
    <row r="120" spans="1:16" s="4" customFormat="1" ht="129.75" customHeight="1" outlineLevel="1" x14ac:dyDescent="0.25">
      <c r="A120" s="216">
        <v>77</v>
      </c>
      <c r="B120" s="222" t="s">
        <v>219</v>
      </c>
      <c r="C120" s="222" t="s">
        <v>202</v>
      </c>
      <c r="D120" s="216" t="s">
        <v>463</v>
      </c>
      <c r="E120" s="221" t="s">
        <v>362</v>
      </c>
      <c r="F120" s="221" t="s">
        <v>220</v>
      </c>
      <c r="G120" s="216" t="s">
        <v>2</v>
      </c>
      <c r="H120" s="60">
        <v>29053320</v>
      </c>
      <c r="I120" s="60">
        <v>29053320</v>
      </c>
      <c r="J120" s="35">
        <v>1E-4</v>
      </c>
      <c r="K120" s="60"/>
      <c r="L120" s="60">
        <f>2000+3000</f>
        <v>5000</v>
      </c>
      <c r="M120" s="218">
        <f t="shared" si="6"/>
        <v>29053320</v>
      </c>
      <c r="N120" s="222" t="s">
        <v>221</v>
      </c>
      <c r="O120" s="15"/>
      <c r="P120" s="5"/>
    </row>
    <row r="121" spans="1:16" s="4" customFormat="1" ht="129.75" customHeight="1" outlineLevel="1" x14ac:dyDescent="0.25">
      <c r="A121" s="216">
        <v>78</v>
      </c>
      <c r="B121" s="222" t="s">
        <v>222</v>
      </c>
      <c r="C121" s="222" t="s">
        <v>202</v>
      </c>
      <c r="D121" s="216" t="s">
        <v>463</v>
      </c>
      <c r="E121" s="221" t="s">
        <v>362</v>
      </c>
      <c r="F121" s="221" t="s">
        <v>223</v>
      </c>
      <c r="G121" s="216" t="s">
        <v>2</v>
      </c>
      <c r="H121" s="60">
        <v>192064443</v>
      </c>
      <c r="I121" s="60">
        <f>95000000+97064443</f>
        <v>192064443</v>
      </c>
      <c r="J121" s="35">
        <v>1E-4</v>
      </c>
      <c r="K121" s="60">
        <f>65000000+20000000</f>
        <v>85000000</v>
      </c>
      <c r="L121" s="60">
        <f>16100+12200+23933</f>
        <v>52233</v>
      </c>
      <c r="M121" s="218">
        <f t="shared" si="6"/>
        <v>107064443</v>
      </c>
      <c r="N121" s="222" t="s">
        <v>224</v>
      </c>
      <c r="O121" s="15"/>
      <c r="P121" s="5"/>
    </row>
    <row r="122" spans="1:16" s="4" customFormat="1" ht="129.75" customHeight="1" outlineLevel="1" x14ac:dyDescent="0.25">
      <c r="A122" s="216">
        <v>79</v>
      </c>
      <c r="B122" s="222" t="s">
        <v>226</v>
      </c>
      <c r="C122" s="222" t="s">
        <v>202</v>
      </c>
      <c r="D122" s="216" t="s">
        <v>463</v>
      </c>
      <c r="E122" s="221" t="s">
        <v>362</v>
      </c>
      <c r="F122" s="221" t="s">
        <v>225</v>
      </c>
      <c r="G122" s="216" t="s">
        <v>2</v>
      </c>
      <c r="H122" s="60">
        <v>3469534</v>
      </c>
      <c r="I122" s="60">
        <v>3469534</v>
      </c>
      <c r="J122" s="35">
        <v>1E-4</v>
      </c>
      <c r="K122" s="60">
        <v>266887</v>
      </c>
      <c r="L122" s="60">
        <f>600+86</f>
        <v>686</v>
      </c>
      <c r="M122" s="218">
        <f t="shared" si="6"/>
        <v>3202647</v>
      </c>
      <c r="N122" s="222" t="s">
        <v>227</v>
      </c>
      <c r="O122" s="15"/>
      <c r="P122" s="5"/>
    </row>
    <row r="123" spans="1:16" s="4" customFormat="1" ht="129.75" customHeight="1" outlineLevel="1" x14ac:dyDescent="0.25">
      <c r="A123" s="216">
        <v>80</v>
      </c>
      <c r="B123" s="222" t="s">
        <v>228</v>
      </c>
      <c r="C123" s="222" t="s">
        <v>202</v>
      </c>
      <c r="D123" s="216" t="s">
        <v>463</v>
      </c>
      <c r="E123" s="221" t="s">
        <v>362</v>
      </c>
      <c r="F123" s="221" t="s">
        <v>229</v>
      </c>
      <c r="G123" s="216" t="s">
        <v>2</v>
      </c>
      <c r="H123" s="60">
        <v>11781702</v>
      </c>
      <c r="I123" s="60">
        <v>11781702</v>
      </c>
      <c r="J123" s="35">
        <v>1E-4</v>
      </c>
      <c r="K123" s="60">
        <f>906285+906285+906285+906285+906285+906285+906285+906285</f>
        <v>7250280</v>
      </c>
      <c r="L123" s="60">
        <f>3000+1500+1500</f>
        <v>6000</v>
      </c>
      <c r="M123" s="218">
        <f t="shared" si="6"/>
        <v>4531422</v>
      </c>
      <c r="N123" s="222" t="s">
        <v>230</v>
      </c>
      <c r="O123" s="15"/>
      <c r="P123" s="5"/>
    </row>
    <row r="124" spans="1:16" s="4" customFormat="1" ht="129.75" customHeight="1" outlineLevel="1" x14ac:dyDescent="0.25">
      <c r="A124" s="216">
        <v>81</v>
      </c>
      <c r="B124" s="222" t="s">
        <v>231</v>
      </c>
      <c r="C124" s="222" t="s">
        <v>202</v>
      </c>
      <c r="D124" s="216" t="s">
        <v>463</v>
      </c>
      <c r="E124" s="221" t="s">
        <v>362</v>
      </c>
      <c r="F124" s="221" t="s">
        <v>232</v>
      </c>
      <c r="G124" s="216" t="s">
        <v>2</v>
      </c>
      <c r="H124" s="60">
        <f>112000000+16200000</f>
        <v>128200000</v>
      </c>
      <c r="I124" s="60">
        <f>112000000+16200000</f>
        <v>128200000</v>
      </c>
      <c r="J124" s="35">
        <v>1E-4</v>
      </c>
      <c r="K124" s="60">
        <f>3000000+3000000+4000000</f>
        <v>10000000</v>
      </c>
      <c r="L124" s="60">
        <f>25640+12820</f>
        <v>38460</v>
      </c>
      <c r="M124" s="218">
        <f t="shared" si="6"/>
        <v>118200000</v>
      </c>
      <c r="N124" s="222" t="s">
        <v>233</v>
      </c>
      <c r="O124" s="15"/>
      <c r="P124" s="5"/>
    </row>
    <row r="125" spans="1:16" s="4" customFormat="1" ht="129.75" customHeight="1" outlineLevel="1" x14ac:dyDescent="0.25">
      <c r="A125" s="216">
        <v>82</v>
      </c>
      <c r="B125" s="222" t="s">
        <v>234</v>
      </c>
      <c r="C125" s="222" t="s">
        <v>202</v>
      </c>
      <c r="D125" s="216" t="s">
        <v>463</v>
      </c>
      <c r="E125" s="221" t="s">
        <v>362</v>
      </c>
      <c r="F125" s="221" t="s">
        <v>235</v>
      </c>
      <c r="G125" s="216" t="s">
        <v>2</v>
      </c>
      <c r="H125" s="60">
        <v>26127500</v>
      </c>
      <c r="I125" s="60">
        <v>26127500</v>
      </c>
      <c r="J125" s="35">
        <v>1E-4</v>
      </c>
      <c r="K125" s="60"/>
      <c r="L125" s="60">
        <f>4530</f>
        <v>4530</v>
      </c>
      <c r="M125" s="218">
        <f t="shared" si="6"/>
        <v>26127500</v>
      </c>
      <c r="N125" s="222" t="s">
        <v>236</v>
      </c>
      <c r="O125" s="15"/>
      <c r="P125" s="5"/>
    </row>
    <row r="126" spans="1:16" s="4" customFormat="1" ht="129.75" customHeight="1" outlineLevel="1" x14ac:dyDescent="0.25">
      <c r="A126" s="216">
        <v>83</v>
      </c>
      <c r="B126" s="222" t="s">
        <v>237</v>
      </c>
      <c r="C126" s="222" t="s">
        <v>202</v>
      </c>
      <c r="D126" s="216" t="s">
        <v>463</v>
      </c>
      <c r="E126" s="221" t="s">
        <v>362</v>
      </c>
      <c r="F126" s="221" t="s">
        <v>238</v>
      </c>
      <c r="G126" s="216" t="s">
        <v>2</v>
      </c>
      <c r="H126" s="60">
        <v>19297200</v>
      </c>
      <c r="I126" s="60">
        <f>10800000+3440000+1440000+3617200</f>
        <v>19297200</v>
      </c>
      <c r="J126" s="35">
        <v>1E-4</v>
      </c>
      <c r="K126" s="60"/>
      <c r="L126" s="60">
        <f>3000</f>
        <v>3000</v>
      </c>
      <c r="M126" s="218">
        <f t="shared" si="6"/>
        <v>19297200</v>
      </c>
      <c r="N126" s="222" t="s">
        <v>239</v>
      </c>
      <c r="O126" s="15"/>
      <c r="P126" s="5"/>
    </row>
    <row r="127" spans="1:16" s="4" customFormat="1" ht="129.75" customHeight="1" outlineLevel="1" x14ac:dyDescent="0.25">
      <c r="A127" s="216">
        <v>84</v>
      </c>
      <c r="B127" s="222" t="s">
        <v>240</v>
      </c>
      <c r="C127" s="222" t="s">
        <v>202</v>
      </c>
      <c r="D127" s="216" t="s">
        <v>463</v>
      </c>
      <c r="E127" s="221" t="s">
        <v>362</v>
      </c>
      <c r="F127" s="221" t="s">
        <v>225</v>
      </c>
      <c r="G127" s="216" t="s">
        <v>2</v>
      </c>
      <c r="H127" s="60">
        <v>2164000</v>
      </c>
      <c r="I127" s="60">
        <v>2164000</v>
      </c>
      <c r="J127" s="35">
        <v>1E-4</v>
      </c>
      <c r="K127" s="60">
        <f>166462+166462+165000+167000+166500+166500+67000+265923</f>
        <v>1330847</v>
      </c>
      <c r="L127" s="60">
        <f>370+54.8+100+100+500</f>
        <v>1124.8</v>
      </c>
      <c r="M127" s="218">
        <f>I127-L127</f>
        <v>2162875.2000000002</v>
      </c>
      <c r="N127" s="222" t="s">
        <v>241</v>
      </c>
      <c r="O127" s="15"/>
      <c r="P127" s="5"/>
    </row>
    <row r="128" spans="1:16" s="4" customFormat="1" ht="129.75" customHeight="1" outlineLevel="1" x14ac:dyDescent="0.25">
      <c r="A128" s="216">
        <v>85</v>
      </c>
      <c r="B128" s="222" t="s">
        <v>242</v>
      </c>
      <c r="C128" s="222" t="s">
        <v>202</v>
      </c>
      <c r="D128" s="216" t="s">
        <v>463</v>
      </c>
      <c r="E128" s="221" t="s">
        <v>362</v>
      </c>
      <c r="F128" s="221" t="s">
        <v>243</v>
      </c>
      <c r="G128" s="216" t="s">
        <v>2</v>
      </c>
      <c r="H128" s="60">
        <v>253504102</v>
      </c>
      <c r="I128" s="60">
        <v>253504102</v>
      </c>
      <c r="J128" s="35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218">
        <f t="shared" ref="M128:M134" si="7">I128-K128</f>
        <v>117001894</v>
      </c>
      <c r="N128" s="222" t="s">
        <v>244</v>
      </c>
      <c r="O128" s="15"/>
      <c r="P128" s="5"/>
    </row>
    <row r="129" spans="1:16" s="4" customFormat="1" ht="129.75" customHeight="1" outlineLevel="1" x14ac:dyDescent="0.25">
      <c r="A129" s="216">
        <v>86</v>
      </c>
      <c r="B129" s="222" t="s">
        <v>245</v>
      </c>
      <c r="C129" s="222" t="s">
        <v>202</v>
      </c>
      <c r="D129" s="216" t="s">
        <v>463</v>
      </c>
      <c r="E129" s="221" t="s">
        <v>362</v>
      </c>
      <c r="F129" s="221" t="s">
        <v>243</v>
      </c>
      <c r="G129" s="216" t="s">
        <v>2</v>
      </c>
      <c r="H129" s="60">
        <v>76200000</v>
      </c>
      <c r="I129" s="60">
        <v>76200000</v>
      </c>
      <c r="J129" s="35">
        <v>1E-4</v>
      </c>
      <c r="K129" s="60"/>
      <c r="L129" s="60">
        <f>7620+5520</f>
        <v>13140</v>
      </c>
      <c r="M129" s="218">
        <f t="shared" si="7"/>
        <v>76200000</v>
      </c>
      <c r="N129" s="222" t="s">
        <v>246</v>
      </c>
      <c r="O129" s="15"/>
      <c r="P129" s="5"/>
    </row>
    <row r="130" spans="1:16" s="4" customFormat="1" ht="121.5" outlineLevel="1" x14ac:dyDescent="0.25">
      <c r="A130" s="216">
        <v>87</v>
      </c>
      <c r="B130" s="222" t="s">
        <v>247</v>
      </c>
      <c r="C130" s="222" t="s">
        <v>202</v>
      </c>
      <c r="D130" s="216" t="s">
        <v>463</v>
      </c>
      <c r="E130" s="221" t="s">
        <v>362</v>
      </c>
      <c r="F130" s="221" t="s">
        <v>248</v>
      </c>
      <c r="G130" s="216" t="s">
        <v>2</v>
      </c>
      <c r="H130" s="60">
        <v>50613970</v>
      </c>
      <c r="I130" s="60">
        <v>50613970</v>
      </c>
      <c r="J130" s="35">
        <v>1E-4</v>
      </c>
      <c r="K130" s="60"/>
      <c r="L130" s="60">
        <f>8800+8800</f>
        <v>17600</v>
      </c>
      <c r="M130" s="218">
        <f t="shared" si="7"/>
        <v>50613970</v>
      </c>
      <c r="N130" s="222" t="s">
        <v>249</v>
      </c>
      <c r="O130" s="15"/>
      <c r="P130" s="5"/>
    </row>
    <row r="131" spans="1:16" s="4" customFormat="1" ht="121.5" outlineLevel="1" x14ac:dyDescent="0.25">
      <c r="A131" s="216">
        <v>88</v>
      </c>
      <c r="B131" s="222" t="s">
        <v>250</v>
      </c>
      <c r="C131" s="222" t="s">
        <v>202</v>
      </c>
      <c r="D131" s="216" t="s">
        <v>463</v>
      </c>
      <c r="E131" s="221" t="s">
        <v>362</v>
      </c>
      <c r="F131" s="221" t="s">
        <v>251</v>
      </c>
      <c r="G131" s="216" t="s">
        <v>2</v>
      </c>
      <c r="H131" s="60">
        <v>184740000</v>
      </c>
      <c r="I131" s="60">
        <v>184740000</v>
      </c>
      <c r="J131" s="35">
        <v>1E-4</v>
      </c>
      <c r="K131" s="60"/>
      <c r="L131" s="60">
        <f>31700</f>
        <v>31700</v>
      </c>
      <c r="M131" s="218">
        <f t="shared" si="7"/>
        <v>184740000</v>
      </c>
      <c r="N131" s="222" t="s">
        <v>252</v>
      </c>
      <c r="O131" s="15"/>
      <c r="P131" s="5"/>
    </row>
    <row r="132" spans="1:16" s="4" customFormat="1" ht="121.5" outlineLevel="1" x14ac:dyDescent="0.25">
      <c r="A132" s="216">
        <v>89</v>
      </c>
      <c r="B132" s="222" t="s">
        <v>253</v>
      </c>
      <c r="C132" s="222" t="s">
        <v>202</v>
      </c>
      <c r="D132" s="216" t="s">
        <v>463</v>
      </c>
      <c r="E132" s="221" t="s">
        <v>362</v>
      </c>
      <c r="F132" s="221" t="s">
        <v>254</v>
      </c>
      <c r="G132" s="216" t="s">
        <v>2</v>
      </c>
      <c r="H132" s="60">
        <v>219559596</v>
      </c>
      <c r="I132" s="60">
        <v>219559596</v>
      </c>
      <c r="J132" s="35">
        <v>1E-4</v>
      </c>
      <c r="K132" s="60">
        <f>16889200+16889200+185781196</f>
        <v>219559596</v>
      </c>
      <c r="L132" s="60">
        <f>5294+5294+27550+5533+1000</f>
        <v>44671</v>
      </c>
      <c r="M132" s="218">
        <f t="shared" si="7"/>
        <v>0</v>
      </c>
      <c r="N132" s="222" t="s">
        <v>438</v>
      </c>
      <c r="O132" s="15"/>
      <c r="P132" s="5"/>
    </row>
    <row r="133" spans="1:16" s="4" customFormat="1" ht="121.5" outlineLevel="1" x14ac:dyDescent="0.25">
      <c r="A133" s="216">
        <v>90</v>
      </c>
      <c r="B133" s="222" t="s">
        <v>255</v>
      </c>
      <c r="C133" s="222" t="s">
        <v>202</v>
      </c>
      <c r="D133" s="216" t="s">
        <v>463</v>
      </c>
      <c r="E133" s="221" t="s">
        <v>362</v>
      </c>
      <c r="F133" s="221" t="s">
        <v>251</v>
      </c>
      <c r="G133" s="216" t="s">
        <v>2</v>
      </c>
      <c r="H133" s="60">
        <v>29081500</v>
      </c>
      <c r="I133" s="60">
        <v>29081500</v>
      </c>
      <c r="J133" s="35">
        <v>1E-4</v>
      </c>
      <c r="K133" s="60"/>
      <c r="L133" s="60">
        <f>1000+4000+3000+1000</f>
        <v>9000</v>
      </c>
      <c r="M133" s="218">
        <f t="shared" si="7"/>
        <v>29081500</v>
      </c>
      <c r="N133" s="222" t="s">
        <v>256</v>
      </c>
      <c r="O133" s="15"/>
      <c r="P133" s="5"/>
    </row>
    <row r="134" spans="1:16" s="4" customFormat="1" ht="123" customHeight="1" outlineLevel="1" x14ac:dyDescent="0.25">
      <c r="A134" s="216">
        <v>91</v>
      </c>
      <c r="B134" s="222" t="s">
        <v>257</v>
      </c>
      <c r="C134" s="222" t="s">
        <v>202</v>
      </c>
      <c r="D134" s="216" t="s">
        <v>463</v>
      </c>
      <c r="E134" s="221" t="s">
        <v>362</v>
      </c>
      <c r="F134" s="221" t="s">
        <v>258</v>
      </c>
      <c r="G134" s="216" t="s">
        <v>2</v>
      </c>
      <c r="H134" s="60">
        <v>12060940</v>
      </c>
      <c r="I134" s="60">
        <v>12060940</v>
      </c>
      <c r="J134" s="35">
        <v>1E-4</v>
      </c>
      <c r="K134" s="60"/>
      <c r="L134" s="60">
        <v>2170</v>
      </c>
      <c r="M134" s="218">
        <f t="shared" si="7"/>
        <v>12060940</v>
      </c>
      <c r="N134" s="222" t="s">
        <v>259</v>
      </c>
      <c r="O134" s="15"/>
      <c r="P134" s="5"/>
    </row>
    <row r="135" spans="1:16" s="9" customFormat="1" ht="30" customHeight="1" x14ac:dyDescent="0.25">
      <c r="A135" s="486" t="s">
        <v>437</v>
      </c>
      <c r="B135" s="486"/>
      <c r="C135" s="486"/>
      <c r="D135" s="503" t="s">
        <v>29</v>
      </c>
      <c r="E135" s="503"/>
      <c r="F135" s="503"/>
      <c r="G135" s="217"/>
      <c r="H135" s="11">
        <f>SUMIF($G$114:$G$134,D135,$H$114:$H$134)</f>
        <v>0</v>
      </c>
      <c r="I135" s="11">
        <f>SUMIF($G$104:$G$134,D135,$I$104:$I$134)</f>
        <v>0</v>
      </c>
      <c r="J135" s="11"/>
      <c r="K135" s="11">
        <f>SUMIF($G$114:$G$134,D135,$K$114:$K$134)</f>
        <v>0</v>
      </c>
      <c r="L135" s="11">
        <f>SUMIF($G$104:$G$134,D135,$L$104:$L$134)</f>
        <v>0</v>
      </c>
      <c r="M135" s="11">
        <f>SUMIF($G$104:$G$134,D135,$M$104:$M$134)</f>
        <v>0</v>
      </c>
      <c r="N135" s="11"/>
      <c r="O135" s="8"/>
      <c r="P135" s="5"/>
    </row>
    <row r="136" spans="1:16" s="9" customFormat="1" ht="27" customHeight="1" x14ac:dyDescent="0.25">
      <c r="A136" s="486"/>
      <c r="B136" s="486"/>
      <c r="C136" s="486"/>
      <c r="D136" s="503" t="s">
        <v>2</v>
      </c>
      <c r="E136" s="503"/>
      <c r="F136" s="503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629489433.20000005</v>
      </c>
      <c r="L136" s="11">
        <f>SUMIF($G$114:$G$134,D136,$L$114:$L$134)</f>
        <v>515765.2</v>
      </c>
      <c r="M136" s="11">
        <f>SUMIF($G$114:$G$134,D136,$M$114:$M$134)</f>
        <v>1383303275</v>
      </c>
      <c r="N136" s="11"/>
      <c r="O136" s="8"/>
      <c r="P136" s="5"/>
    </row>
    <row r="137" spans="1:16" s="9" customFormat="1" ht="28.5" customHeight="1" x14ac:dyDescent="0.25">
      <c r="A137" s="486"/>
      <c r="B137" s="486"/>
      <c r="C137" s="486"/>
      <c r="D137" s="503" t="s">
        <v>51</v>
      </c>
      <c r="E137" s="503"/>
      <c r="F137" s="503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1"/>
      <c r="O137" s="8"/>
      <c r="P137" s="5"/>
    </row>
    <row r="138" spans="1:16" s="9" customFormat="1" ht="30" customHeight="1" x14ac:dyDescent="0.25">
      <c r="A138" s="486"/>
      <c r="B138" s="486"/>
      <c r="C138" s="486"/>
      <c r="D138" s="503" t="s">
        <v>71</v>
      </c>
      <c r="E138" s="503"/>
      <c r="F138" s="503"/>
      <c r="G138" s="54"/>
      <c r="H138" s="11">
        <f>SUMIF($G$114:$G$134,D138,$H$114:$H$134)</f>
        <v>0</v>
      </c>
      <c r="I138" s="11">
        <f>SUMIF($G$104:$G$134,D138,$I$104:$I$134)</f>
        <v>0</v>
      </c>
      <c r="J138" s="11"/>
      <c r="K138" s="11">
        <f>SUMIF($G$104:$G$134,D138,$K$104:$K$134)</f>
        <v>0</v>
      </c>
      <c r="L138" s="11">
        <f>SUMIF($G$104:$G$134,D138,$L$104:$L$134)</f>
        <v>0</v>
      </c>
      <c r="M138" s="11">
        <f>SUMIF($G$104:$G$134,D138,$M$104:$M$134)</f>
        <v>0</v>
      </c>
      <c r="N138" s="11"/>
      <c r="O138" s="8"/>
      <c r="P138" s="5"/>
    </row>
    <row r="139" spans="1:16" s="9" customFormat="1" ht="15.75" customHeight="1" x14ac:dyDescent="0.25">
      <c r="A139" s="486" t="s">
        <v>260</v>
      </c>
      <c r="B139" s="486"/>
      <c r="C139" s="486"/>
      <c r="D139" s="503" t="s">
        <v>29</v>
      </c>
      <c r="E139" s="503"/>
      <c r="F139" s="503"/>
      <c r="G139" s="54"/>
      <c r="H139" s="11">
        <f t="shared" ref="H139:M142" si="8">H46+H57+H68+H100+H110+H135</f>
        <v>340755742.28000003</v>
      </c>
      <c r="I139" s="11">
        <f t="shared" si="8"/>
        <v>141932627.11000001</v>
      </c>
      <c r="J139" s="11">
        <f t="shared" si="8"/>
        <v>0</v>
      </c>
      <c r="K139" s="11">
        <f t="shared" si="8"/>
        <v>51386060.48999165</v>
      </c>
      <c r="L139" s="11">
        <f t="shared" si="8"/>
        <v>20016976.314045146</v>
      </c>
      <c r="M139" s="11">
        <f t="shared" si="8"/>
        <v>91308135.050008342</v>
      </c>
      <c r="N139" s="11"/>
      <c r="O139" s="8"/>
      <c r="P139" s="5"/>
    </row>
    <row r="140" spans="1:16" s="9" customFormat="1" ht="17.25" customHeight="1" x14ac:dyDescent="0.25">
      <c r="A140" s="486"/>
      <c r="B140" s="486"/>
      <c r="C140" s="486"/>
      <c r="D140" s="503" t="s">
        <v>2</v>
      </c>
      <c r="E140" s="503"/>
      <c r="F140" s="503"/>
      <c r="G140" s="54"/>
      <c r="H140" s="11">
        <f t="shared" si="8"/>
        <v>179740663940.10001</v>
      </c>
      <c r="I140" s="11">
        <f t="shared" si="8"/>
        <v>198987660942.60999</v>
      </c>
      <c r="J140" s="11">
        <f t="shared" si="8"/>
        <v>0</v>
      </c>
      <c r="K140" s="11">
        <f t="shared" si="8"/>
        <v>97406210542.044708</v>
      </c>
      <c r="L140" s="11">
        <f t="shared" si="8"/>
        <v>47748467117.669479</v>
      </c>
      <c r="M140" s="11">
        <f t="shared" si="8"/>
        <v>101582780122.76527</v>
      </c>
      <c r="N140" s="11"/>
      <c r="O140" s="8"/>
      <c r="P140" s="5"/>
    </row>
    <row r="141" spans="1:16" s="9" customFormat="1" ht="15" customHeight="1" x14ac:dyDescent="0.25">
      <c r="A141" s="486"/>
      <c r="B141" s="486"/>
      <c r="C141" s="486"/>
      <c r="D141" s="503" t="s">
        <v>51</v>
      </c>
      <c r="E141" s="503"/>
      <c r="F141" s="503"/>
      <c r="G141" s="54"/>
      <c r="H141" s="11">
        <f t="shared" si="8"/>
        <v>481140620.32000005</v>
      </c>
      <c r="I141" s="11">
        <f t="shared" si="8"/>
        <v>361625256.19</v>
      </c>
      <c r="J141" s="11">
        <f t="shared" si="8"/>
        <v>0</v>
      </c>
      <c r="K141" s="11">
        <f t="shared" si="8"/>
        <v>115570151.60013735</v>
      </c>
      <c r="L141" s="11">
        <f t="shared" si="8"/>
        <v>63404889.843835987</v>
      </c>
      <c r="M141" s="11">
        <f t="shared" si="8"/>
        <v>246055104.58986267</v>
      </c>
      <c r="N141" s="11"/>
      <c r="O141" s="8"/>
      <c r="P141" s="5"/>
    </row>
    <row r="142" spans="1:16" s="9" customFormat="1" ht="25.5" customHeight="1" x14ac:dyDescent="0.25">
      <c r="A142" s="486"/>
      <c r="B142" s="486"/>
      <c r="C142" s="486"/>
      <c r="D142" s="503" t="s">
        <v>71</v>
      </c>
      <c r="E142" s="503"/>
      <c r="F142" s="503"/>
      <c r="G142" s="54"/>
      <c r="H142" s="11">
        <f t="shared" si="8"/>
        <v>31777311969</v>
      </c>
      <c r="I142" s="11">
        <f t="shared" si="8"/>
        <v>31859249643</v>
      </c>
      <c r="J142" s="11">
        <f t="shared" si="8"/>
        <v>0</v>
      </c>
      <c r="K142" s="11">
        <f t="shared" si="8"/>
        <v>12178517548.709158</v>
      </c>
      <c r="L142" s="11">
        <f t="shared" si="8"/>
        <v>3571514171.4328051</v>
      </c>
      <c r="M142" s="11">
        <f t="shared" si="8"/>
        <v>19680732094.29084</v>
      </c>
      <c r="N142" s="11"/>
      <c r="O142" s="8"/>
      <c r="P142" s="5"/>
    </row>
    <row r="143" spans="1:16" s="9" customFormat="1" ht="15" customHeight="1" x14ac:dyDescent="0.25">
      <c r="A143" s="486"/>
      <c r="B143" s="486"/>
      <c r="C143" s="486"/>
      <c r="D143" s="503" t="s">
        <v>61</v>
      </c>
      <c r="E143" s="503"/>
      <c r="F143" s="503"/>
      <c r="G143" s="54"/>
      <c r="H143" s="11">
        <f>H50</f>
        <v>24086688</v>
      </c>
      <c r="I143" s="11">
        <f t="shared" ref="I143:M143" si="9">I50</f>
        <v>18384172.012149811</v>
      </c>
      <c r="J143" s="11">
        <f t="shared" si="9"/>
        <v>0</v>
      </c>
      <c r="K143" s="11">
        <f t="shared" si="9"/>
        <v>3889303.4021576373</v>
      </c>
      <c r="L143" s="11">
        <f t="shared" si="9"/>
        <v>2687639.4595199237</v>
      </c>
      <c r="M143" s="11">
        <f t="shared" si="9"/>
        <v>14494868.609992173</v>
      </c>
      <c r="N143" s="11"/>
      <c r="O143" s="8"/>
      <c r="P143" s="5"/>
    </row>
    <row r="144" spans="1:16" ht="51" customHeight="1" x14ac:dyDescent="0.25">
      <c r="A144" s="216">
        <v>96</v>
      </c>
      <c r="B144" s="222" t="s">
        <v>261</v>
      </c>
      <c r="C144" s="216" t="s">
        <v>262</v>
      </c>
      <c r="D144" s="216" t="s">
        <v>463</v>
      </c>
      <c r="E144" s="216" t="s">
        <v>363</v>
      </c>
      <c r="F144" s="216" t="s">
        <v>263</v>
      </c>
      <c r="G144" s="216" t="s">
        <v>2</v>
      </c>
      <c r="H144" s="32">
        <f>834800635300+144000000000+32000000000+132000000000+3500000000+14000000000+2900000000+4000000000</f>
        <v>1167200635300</v>
      </c>
      <c r="I144" s="40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0">
        <v>1E-4</v>
      </c>
      <c r="K144" s="40"/>
      <c r="L144" s="40"/>
      <c r="M144" s="60">
        <f>I144-K144</f>
        <v>1161789822801.3999</v>
      </c>
      <c r="N144" s="216" t="s">
        <v>76</v>
      </c>
      <c r="P144" s="9"/>
    </row>
    <row r="145" spans="2:16" ht="17.25" x14ac:dyDescent="0.3">
      <c r="B145" s="87" t="s">
        <v>2</v>
      </c>
      <c r="C145" s="88"/>
      <c r="G145" s="90"/>
      <c r="H145" s="16"/>
      <c r="I145" s="16"/>
      <c r="M145" s="92"/>
      <c r="N145" s="18"/>
    </row>
    <row r="146" spans="2:16" ht="17.25" x14ac:dyDescent="0.3">
      <c r="B146" s="87" t="s">
        <v>51</v>
      </c>
      <c r="C146" s="88">
        <v>387.81</v>
      </c>
      <c r="H146" s="16"/>
      <c r="I146" s="17"/>
      <c r="J146" s="93"/>
      <c r="L146" s="16"/>
      <c r="M146" s="94"/>
      <c r="N146" s="95"/>
    </row>
    <row r="147" spans="2:16" ht="17.25" x14ac:dyDescent="0.3">
      <c r="B147" s="87" t="s">
        <v>71</v>
      </c>
      <c r="C147" s="96">
        <v>2.488</v>
      </c>
      <c r="I147" s="16"/>
      <c r="L147" s="16"/>
      <c r="M147" s="19"/>
      <c r="N147" s="97"/>
    </row>
    <row r="148" spans="2:16" ht="17.25" x14ac:dyDescent="0.3">
      <c r="B148" s="87" t="s">
        <v>29</v>
      </c>
      <c r="C148" s="88">
        <v>415.62</v>
      </c>
      <c r="I148" s="17"/>
      <c r="L148" s="16"/>
      <c r="M148" s="17"/>
      <c r="N148" s="97"/>
    </row>
    <row r="149" spans="2:16" ht="17.25" x14ac:dyDescent="0.3">
      <c r="B149" s="87" t="s">
        <v>61</v>
      </c>
      <c r="C149" s="88">
        <v>510.95</v>
      </c>
      <c r="L149" s="18"/>
      <c r="M149" s="16"/>
      <c r="N149" s="5"/>
    </row>
    <row r="150" spans="2:16" x14ac:dyDescent="0.25">
      <c r="N150" s="5"/>
    </row>
    <row r="151" spans="2:16" x14ac:dyDescent="0.25">
      <c r="M151" s="19"/>
    </row>
    <row r="152" spans="2:16" x14ac:dyDescent="0.25">
      <c r="I152" s="19"/>
      <c r="L152" s="16"/>
      <c r="M152" s="19"/>
    </row>
    <row r="153" spans="2:16" x14ac:dyDescent="0.25">
      <c r="M153" s="16"/>
    </row>
    <row r="154" spans="2:16" x14ac:dyDescent="0.25">
      <c r="M154" s="16"/>
    </row>
    <row r="158" spans="2:16" x14ac:dyDescent="0.25">
      <c r="M158" s="16"/>
    </row>
    <row r="159" spans="2:16" s="17" customFormat="1" x14ac:dyDescent="0.25">
      <c r="B159" s="20"/>
      <c r="C159" s="6"/>
      <c r="D159" s="6"/>
      <c r="E159" s="89"/>
      <c r="F159" s="6"/>
      <c r="G159" s="6"/>
      <c r="H159" s="6"/>
      <c r="I159" s="6"/>
      <c r="J159" s="91"/>
      <c r="K159" s="6"/>
      <c r="L159" s="6"/>
      <c r="M159" s="16"/>
      <c r="N159" s="6"/>
      <c r="O159" s="5"/>
      <c r="P159" s="6"/>
    </row>
    <row r="160" spans="2:16" x14ac:dyDescent="0.25">
      <c r="P160" s="17"/>
    </row>
  </sheetData>
  <sheetProtection formatCells="0" formatColumns="0" formatRows="0"/>
  <protectedRanges>
    <protectedRange password="C670" sqref="I73:N76 E73:H76 E79:H91 I79:M91 N79:N91 A64:N67 A79:D91 A73:D76" name="Maria"/>
    <protectedRange algorithmName="SHA-512" hashValue="R0m7mG/o0t2+7dbQTzM5iQkFX2amgAS+iAGJudQnnweh07e6LDAbSuhvcwbzcp7drP+HIG4d/wHfMCXiBXmkow==" saltValue="hXh6Ce3lteSj/cvmR3BSBw==" spinCount="100000" sqref="N95:N97 E95:L97 N144 E144:L144 E114:L134 N114:N134 A114:D134 A144:D144 A95:D97" name="Narine"/>
    <protectedRange algorithmName="SHA-512" hashValue="/qDn2zoAPl6XveVGTDHZcWIjR6P6fmKMYiOIx92BVGuoQ3TYOXlsDsoiDSLs1D9Ugjb3A3EixLJ11cGk8PSHvw==" saltValue="LV/JN9wntl8CkZ3QpoEkqA==" spinCount="100000" sqref="N97:N99 E61:L62 E97:L99 N61:N62 A97:D99 A61:D62" name="Nara"/>
    <protectedRange algorithmName="SHA-512" hashValue="2hnhy85Hze6pXZTujHMyiGA7lE9yapdzAMEgpTAQUbEvX5wkbgVJAYj8efzABUddHb+HHBXm+QO7FFQ7DdcL0Q==" saltValue="/3Se5MhqYIbXZuII16lL6A==" spinCount="100000" sqref="E104:N109 A72:N72 A104:D109" name="Nona"/>
  </protectedRanges>
  <mergeCells count="157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A21:A22"/>
    <mergeCell ref="B21:B22"/>
    <mergeCell ref="E21:E22"/>
    <mergeCell ref="F21:F22"/>
    <mergeCell ref="N21:N22"/>
    <mergeCell ref="E19:E20"/>
    <mergeCell ref="F19:F20"/>
    <mergeCell ref="J19:J22"/>
    <mergeCell ref="N19:N20"/>
    <mergeCell ref="J23:J24"/>
    <mergeCell ref="N23:N24"/>
    <mergeCell ref="A25:A26"/>
    <mergeCell ref="B25:B26"/>
    <mergeCell ref="E25:E26"/>
    <mergeCell ref="F25:F26"/>
    <mergeCell ref="J25:J26"/>
    <mergeCell ref="N25:N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31" priority="5" operator="notEqual">
      <formula>#REF!</formula>
    </cfRule>
  </conditionalFormatting>
  <conditionalFormatting sqref="I94 I6:I33 I35:I44">
    <cfRule type="cellIs" dxfId="30" priority="4" operator="notEqual">
      <formula>#REF!</formula>
    </cfRule>
  </conditionalFormatting>
  <conditionalFormatting sqref="H21">
    <cfRule type="cellIs" dxfId="29" priority="3" operator="notEqual">
      <formula>#REF!</formula>
    </cfRule>
  </conditionalFormatting>
  <conditionalFormatting sqref="I45">
    <cfRule type="cellIs" dxfId="28" priority="2" operator="notEqual">
      <formula>#REF!</formula>
    </cfRule>
  </conditionalFormatting>
  <conditionalFormatting sqref="I78">
    <cfRule type="cellIs" dxfId="27" priority="1" operator="notEqual">
      <formula>#REF!</formula>
    </cfRule>
  </conditionalFormatting>
  <pageMargins left="0" right="0" top="0.25" bottom="0.25" header="0.3" footer="0.3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9"/>
  <sheetViews>
    <sheetView zoomScale="86" zoomScaleNormal="86" workbookViewId="0">
      <selection activeCell="D133" sqref="D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23" style="6" customWidth="1"/>
    <col min="6" max="6" width="23.28515625" style="89" customWidth="1"/>
    <col min="7" max="7" width="20.140625" style="6" customWidth="1"/>
    <col min="8" max="8" width="16.42578125" style="6" bestFit="1" customWidth="1"/>
    <col min="9" max="9" width="21.28515625" style="6" customWidth="1"/>
    <col min="10" max="10" width="20.28515625" style="6" customWidth="1"/>
    <col min="11" max="11" width="21.7109375" style="91" customWidth="1"/>
    <col min="12" max="12" width="18.5703125" style="6" customWidth="1"/>
    <col min="13" max="13" width="18.85546875" style="6" bestFit="1" customWidth="1"/>
    <col min="14" max="14" width="26.7109375" style="6" bestFit="1" customWidth="1"/>
    <col min="15" max="15" width="26.42578125" style="6" customWidth="1"/>
    <col min="16" max="16" width="23.42578125" style="6" customWidth="1"/>
    <col min="17" max="17" width="23.5703125" style="5" customWidth="1"/>
    <col min="18" max="18" width="21.85546875" style="6" customWidth="1"/>
    <col min="19" max="16384" width="9.140625" style="6"/>
  </cols>
  <sheetData>
    <row r="1" spans="1:18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289"/>
    </row>
    <row r="2" spans="1:18" ht="52.5" customHeight="1" x14ac:dyDescent="0.4">
      <c r="A2" s="570" t="s">
        <v>494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290"/>
    </row>
    <row r="3" spans="1:18" ht="33.75" customHeight="1" thickBot="1" x14ac:dyDescent="0.3">
      <c r="A3" s="18"/>
      <c r="C3" s="18"/>
      <c r="D3" s="18"/>
      <c r="E3" s="18"/>
      <c r="F3" s="299"/>
      <c r="G3" s="18"/>
      <c r="H3" s="18"/>
      <c r="I3" s="18"/>
      <c r="J3" s="18"/>
      <c r="K3" s="300"/>
      <c r="L3" s="18"/>
      <c r="M3" s="18"/>
      <c r="N3" s="18"/>
      <c r="O3" s="18"/>
      <c r="P3" s="7"/>
    </row>
    <row r="4" spans="1:18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495</v>
      </c>
      <c r="F4" s="24" t="s">
        <v>298</v>
      </c>
      <c r="G4" s="24" t="s">
        <v>290</v>
      </c>
      <c r="H4" s="24" t="s">
        <v>17</v>
      </c>
      <c r="I4" s="24" t="s">
        <v>18</v>
      </c>
      <c r="J4" s="24" t="s">
        <v>19</v>
      </c>
      <c r="K4" s="26" t="s">
        <v>20</v>
      </c>
      <c r="L4" s="24" t="s">
        <v>21</v>
      </c>
      <c r="M4" s="24" t="s">
        <v>22</v>
      </c>
      <c r="N4" s="24" t="s">
        <v>23</v>
      </c>
      <c r="O4" s="27" t="s">
        <v>24</v>
      </c>
      <c r="P4" s="301" t="s">
        <v>496</v>
      </c>
      <c r="Q4" s="1"/>
      <c r="R4" s="98"/>
    </row>
    <row r="5" spans="1:18" ht="75" customHeight="1" outlineLevel="1" x14ac:dyDescent="0.25">
      <c r="A5" s="525">
        <v>1</v>
      </c>
      <c r="B5" s="256" t="s">
        <v>25</v>
      </c>
      <c r="C5" s="28" t="s">
        <v>26</v>
      </c>
      <c r="D5" s="530" t="s">
        <v>27</v>
      </c>
      <c r="E5" s="258" t="s">
        <v>497</v>
      </c>
      <c r="F5" s="542" t="s">
        <v>299</v>
      </c>
      <c r="G5" s="258" t="s">
        <v>28</v>
      </c>
      <c r="H5" s="31" t="s">
        <v>29</v>
      </c>
      <c r="I5" s="268">
        <v>7300000</v>
      </c>
      <c r="J5" s="294">
        <f>5822389.5+13412.1+4470.7+716451.75+24588.85+716451.75+2235.35</f>
        <v>7299999.9999999991</v>
      </c>
      <c r="K5" s="30" t="s">
        <v>30</v>
      </c>
      <c r="L5" s="294">
        <f>595000+119000+119000+119000+119000+119000</f>
        <v>1190000</v>
      </c>
      <c r="M5" s="294">
        <v>652083.5</v>
      </c>
      <c r="N5" s="268">
        <f t="shared" ref="N5:N33" si="0">J5-L5</f>
        <v>6109999.9999999991</v>
      </c>
      <c r="O5" s="253" t="s">
        <v>31</v>
      </c>
      <c r="P5" s="292" t="s">
        <v>498</v>
      </c>
      <c r="R5" s="5"/>
    </row>
    <row r="6" spans="1:18" ht="75.75" customHeight="1" outlineLevel="1" x14ac:dyDescent="0.25">
      <c r="A6" s="533"/>
      <c r="B6" s="271" t="s">
        <v>25</v>
      </c>
      <c r="C6" s="33" t="s">
        <v>32</v>
      </c>
      <c r="D6" s="553"/>
      <c r="E6" s="276" t="s">
        <v>497</v>
      </c>
      <c r="F6" s="552"/>
      <c r="G6" s="276" t="s">
        <v>33</v>
      </c>
      <c r="H6" s="272" t="s">
        <v>29</v>
      </c>
      <c r="I6" s="294">
        <v>7300000</v>
      </c>
      <c r="J6" s="294">
        <v>7299999.9999999981</v>
      </c>
      <c r="K6" s="278" t="s">
        <v>34</v>
      </c>
      <c r="L6" s="294">
        <f>5474999.9+304166.7+304166.7+304166.7+304166.7+304166.7</f>
        <v>6995833.4000000013</v>
      </c>
      <c r="M6" s="294">
        <f>1226756+8356.16</f>
        <v>1235112.1599999999</v>
      </c>
      <c r="N6" s="294">
        <f t="shared" si="0"/>
        <v>304166.59999999683</v>
      </c>
      <c r="O6" s="140" t="s">
        <v>35</v>
      </c>
      <c r="P6" s="204" t="s">
        <v>498</v>
      </c>
      <c r="R6" s="5"/>
    </row>
    <row r="7" spans="1:18" ht="79.5" customHeight="1" outlineLevel="1" x14ac:dyDescent="0.25">
      <c r="A7" s="270">
        <v>2</v>
      </c>
      <c r="B7" s="271" t="s">
        <v>25</v>
      </c>
      <c r="C7" s="271" t="s">
        <v>36</v>
      </c>
      <c r="D7" s="276" t="s">
        <v>27</v>
      </c>
      <c r="E7" s="276" t="s">
        <v>497</v>
      </c>
      <c r="F7" s="275" t="s">
        <v>300</v>
      </c>
      <c r="G7" s="276" t="s">
        <v>37</v>
      </c>
      <c r="H7" s="272" t="s">
        <v>29</v>
      </c>
      <c r="I7" s="294">
        <v>14060526.73</v>
      </c>
      <c r="J7" s="294">
        <v>14060526.73</v>
      </c>
      <c r="K7" s="293">
        <v>7.4999999999999997E-3</v>
      </c>
      <c r="L7" s="294">
        <f>5858552.73979552+234342.1+234342.1+98055764.9/418.43+98932204.4/422.17+104987604.2/448.01</f>
        <v>7030263.2398433303</v>
      </c>
      <c r="M7" s="294">
        <f>1294472.69934396+40254.3+39195.3+16095956/418.43+15796672.6/422.17+16433280.1/448.01</f>
        <v>1486488.2092536527</v>
      </c>
      <c r="N7" s="294">
        <f t="shared" si="0"/>
        <v>7030263.4901566701</v>
      </c>
      <c r="O7" s="140" t="s">
        <v>31</v>
      </c>
      <c r="P7" s="204" t="s">
        <v>498</v>
      </c>
      <c r="R7" s="5"/>
    </row>
    <row r="8" spans="1:18" ht="78.75" customHeight="1" outlineLevel="1" x14ac:dyDescent="0.25">
      <c r="A8" s="270">
        <v>3</v>
      </c>
      <c r="B8" s="271" t="s">
        <v>25</v>
      </c>
      <c r="C8" s="271" t="s">
        <v>38</v>
      </c>
      <c r="D8" s="276" t="s">
        <v>27</v>
      </c>
      <c r="E8" s="276" t="s">
        <v>497</v>
      </c>
      <c r="F8" s="275" t="s">
        <v>301</v>
      </c>
      <c r="G8" s="276" t="s">
        <v>39</v>
      </c>
      <c r="H8" s="272" t="s">
        <v>29</v>
      </c>
      <c r="I8" s="294">
        <v>75000000</v>
      </c>
      <c r="J8" s="294"/>
      <c r="K8" s="293" t="s">
        <v>40</v>
      </c>
      <c r="L8" s="294"/>
      <c r="M8" s="294">
        <f>1932812.5+93750+93750+93750+93750+42000937.5/448.01</f>
        <v>2401562.5</v>
      </c>
      <c r="N8" s="294">
        <f t="shared" si="0"/>
        <v>0</v>
      </c>
      <c r="O8" s="140" t="s">
        <v>35</v>
      </c>
      <c r="P8" s="204" t="s">
        <v>498</v>
      </c>
      <c r="R8" s="5"/>
    </row>
    <row r="9" spans="1:18" ht="81.75" customHeight="1" outlineLevel="1" x14ac:dyDescent="0.25">
      <c r="A9" s="532">
        <v>4</v>
      </c>
      <c r="B9" s="251" t="s">
        <v>25</v>
      </c>
      <c r="C9" s="521" t="s">
        <v>38</v>
      </c>
      <c r="D9" s="276" t="s">
        <v>27</v>
      </c>
      <c r="E9" s="259" t="s">
        <v>497</v>
      </c>
      <c r="F9" s="541" t="s">
        <v>301</v>
      </c>
      <c r="G9" s="531" t="s">
        <v>41</v>
      </c>
      <c r="H9" s="272" t="s">
        <v>29</v>
      </c>
      <c r="I9" s="294">
        <v>10200000</v>
      </c>
      <c r="J9" s="294">
        <f>1075381.69+59500</f>
        <v>1134881.69</v>
      </c>
      <c r="K9" s="264" t="s">
        <v>30</v>
      </c>
      <c r="L9" s="294">
        <v>0</v>
      </c>
      <c r="M9" s="294">
        <f>200690.672577969+15587.2+6522152.1/418.43+6580448.3/422.17+6983221.5/448.01</f>
        <v>263039.47283004946</v>
      </c>
      <c r="N9" s="294">
        <f>J9-L9</f>
        <v>1134881.69</v>
      </c>
      <c r="O9" s="521" t="s">
        <v>35</v>
      </c>
      <c r="P9" s="291" t="s">
        <v>498</v>
      </c>
      <c r="R9" s="5"/>
    </row>
    <row r="10" spans="1:18" ht="76.5" customHeight="1" outlineLevel="1" x14ac:dyDescent="0.25">
      <c r="A10" s="533"/>
      <c r="B10" s="251" t="s">
        <v>25</v>
      </c>
      <c r="C10" s="528"/>
      <c r="D10" s="276" t="s">
        <v>463</v>
      </c>
      <c r="E10" s="258" t="s">
        <v>499</v>
      </c>
      <c r="F10" s="542"/>
      <c r="G10" s="530"/>
      <c r="H10" s="272" t="s">
        <v>2</v>
      </c>
      <c r="I10" s="294"/>
      <c r="J10" s="294">
        <v>244081445</v>
      </c>
      <c r="K10" s="264" t="s">
        <v>30</v>
      </c>
      <c r="L10" s="294"/>
      <c r="M10" s="294">
        <f>9774294.3+915305.4+915305.4+915305.4</f>
        <v>12520210.500000002</v>
      </c>
      <c r="N10" s="294">
        <f>J10-L10</f>
        <v>244081445</v>
      </c>
      <c r="O10" s="528"/>
      <c r="P10" s="292" t="s">
        <v>498</v>
      </c>
      <c r="R10" s="5"/>
    </row>
    <row r="11" spans="1:18" ht="76.5" customHeight="1" outlineLevel="1" x14ac:dyDescent="0.25">
      <c r="A11" s="532">
        <v>5</v>
      </c>
      <c r="B11" s="251" t="s">
        <v>25</v>
      </c>
      <c r="C11" s="521" t="s">
        <v>42</v>
      </c>
      <c r="D11" s="276" t="s">
        <v>126</v>
      </c>
      <c r="E11" s="276" t="s">
        <v>497</v>
      </c>
      <c r="F11" s="541" t="s">
        <v>302</v>
      </c>
      <c r="G11" s="531" t="s">
        <v>43</v>
      </c>
      <c r="H11" s="272" t="s">
        <v>29</v>
      </c>
      <c r="I11" s="294">
        <v>10000000</v>
      </c>
      <c r="J11" s="294"/>
      <c r="K11" s="264" t="s">
        <v>44</v>
      </c>
      <c r="L11" s="294"/>
      <c r="M11" s="294">
        <v>50000</v>
      </c>
      <c r="N11" s="294">
        <f>J11-L11</f>
        <v>0</v>
      </c>
      <c r="O11" s="521" t="s">
        <v>45</v>
      </c>
      <c r="P11" s="291" t="s">
        <v>498</v>
      </c>
      <c r="R11" s="5"/>
    </row>
    <row r="12" spans="1:18" ht="76.5" customHeight="1" outlineLevel="1" x14ac:dyDescent="0.25">
      <c r="A12" s="533"/>
      <c r="B12" s="251" t="s">
        <v>25</v>
      </c>
      <c r="C12" s="528"/>
      <c r="D12" s="276" t="s">
        <v>463</v>
      </c>
      <c r="E12" s="276" t="s">
        <v>499</v>
      </c>
      <c r="F12" s="542"/>
      <c r="G12" s="530"/>
      <c r="H12" s="276" t="s">
        <v>2</v>
      </c>
      <c r="I12" s="294"/>
      <c r="J12" s="294"/>
      <c r="K12" s="264" t="s">
        <v>44</v>
      </c>
      <c r="L12" s="294"/>
      <c r="M12" s="294"/>
      <c r="N12" s="294">
        <f t="shared" si="0"/>
        <v>0</v>
      </c>
      <c r="O12" s="528"/>
      <c r="P12" s="292" t="s">
        <v>498</v>
      </c>
      <c r="R12" s="5"/>
    </row>
    <row r="13" spans="1:18" ht="76.5" customHeight="1" outlineLevel="1" x14ac:dyDescent="0.25">
      <c r="A13" s="532">
        <v>6</v>
      </c>
      <c r="B13" s="251" t="s">
        <v>25</v>
      </c>
      <c r="C13" s="521" t="s">
        <v>46</v>
      </c>
      <c r="D13" s="276" t="s">
        <v>27</v>
      </c>
      <c r="E13" s="276" t="s">
        <v>497</v>
      </c>
      <c r="F13" s="541" t="s">
        <v>303</v>
      </c>
      <c r="G13" s="531" t="s">
        <v>47</v>
      </c>
      <c r="H13" s="272" t="s">
        <v>29</v>
      </c>
      <c r="I13" s="294">
        <v>83000000</v>
      </c>
      <c r="J13" s="294"/>
      <c r="K13" s="264" t="s">
        <v>464</v>
      </c>
      <c r="L13" s="294"/>
      <c r="M13" s="294">
        <f>1930326.40003794+103750+103750+103750+103750+46481037.5/448.01</f>
        <v>2449076.4000379397</v>
      </c>
      <c r="N13" s="294">
        <f t="shared" si="0"/>
        <v>0</v>
      </c>
      <c r="O13" s="521" t="s">
        <v>35</v>
      </c>
      <c r="P13" s="291" t="s">
        <v>498</v>
      </c>
      <c r="R13" s="5"/>
    </row>
    <row r="14" spans="1:18" ht="76.5" customHeight="1" outlineLevel="1" x14ac:dyDescent="0.25">
      <c r="A14" s="533"/>
      <c r="B14" s="251" t="s">
        <v>25</v>
      </c>
      <c r="C14" s="528"/>
      <c r="D14" s="276" t="s">
        <v>463</v>
      </c>
      <c r="E14" s="276" t="s">
        <v>499</v>
      </c>
      <c r="F14" s="542"/>
      <c r="G14" s="530"/>
      <c r="H14" s="276" t="s">
        <v>2</v>
      </c>
      <c r="I14" s="294"/>
      <c r="J14" s="294"/>
      <c r="K14" s="264" t="s">
        <v>464</v>
      </c>
      <c r="L14" s="294"/>
      <c r="M14" s="294"/>
      <c r="N14" s="294">
        <f t="shared" si="0"/>
        <v>0</v>
      </c>
      <c r="O14" s="528"/>
      <c r="P14" s="292" t="s">
        <v>498</v>
      </c>
      <c r="Q14" s="8"/>
      <c r="R14" s="5"/>
    </row>
    <row r="15" spans="1:18" ht="96.75" customHeight="1" outlineLevel="1" x14ac:dyDescent="0.25">
      <c r="A15" s="532">
        <v>7</v>
      </c>
      <c r="B15" s="251" t="s">
        <v>25</v>
      </c>
      <c r="C15" s="521" t="s">
        <v>48</v>
      </c>
      <c r="D15" s="531" t="s">
        <v>49</v>
      </c>
      <c r="E15" s="276" t="s">
        <v>497</v>
      </c>
      <c r="F15" s="541" t="s">
        <v>304</v>
      </c>
      <c r="G15" s="531" t="s">
        <v>50</v>
      </c>
      <c r="H15" s="272" t="s">
        <v>51</v>
      </c>
      <c r="I15" s="294">
        <f>35500000-1434414.8</f>
        <v>34065585.200000003</v>
      </c>
      <c r="J15" s="294">
        <v>34065585.200000003</v>
      </c>
      <c r="K15" s="285" t="s">
        <v>367</v>
      </c>
      <c r="L15" s="294">
        <f>3406558.5+438685248.4/386.33+457603003.3/402.99+440229555/387.69</f>
        <v>6813117.0000130683</v>
      </c>
      <c r="M15" s="294">
        <f>6927866.15+372600334/386.33+433310604.9/402.99+419066992.3/387.69</f>
        <v>10048499.749881966</v>
      </c>
      <c r="N15" s="294">
        <f t="shared" si="0"/>
        <v>27252468.199986935</v>
      </c>
      <c r="O15" s="521" t="s">
        <v>52</v>
      </c>
      <c r="P15" s="291" t="s">
        <v>498</v>
      </c>
      <c r="Q15" s="8"/>
      <c r="R15" s="5"/>
    </row>
    <row r="16" spans="1:18" ht="81.75" customHeight="1" outlineLevel="1" x14ac:dyDescent="0.25">
      <c r="A16" s="533"/>
      <c r="B16" s="251" t="s">
        <v>25</v>
      </c>
      <c r="C16" s="528"/>
      <c r="D16" s="530"/>
      <c r="E16" s="276" t="s">
        <v>499</v>
      </c>
      <c r="F16" s="542"/>
      <c r="G16" s="530"/>
      <c r="H16" s="276" t="s">
        <v>2</v>
      </c>
      <c r="I16" s="294"/>
      <c r="J16" s="294">
        <v>3680136115.8000002</v>
      </c>
      <c r="K16" s="285" t="s">
        <v>367</v>
      </c>
      <c r="L16" s="294">
        <f>387003402.1+121967878.3+121967878.3+121967878.3</f>
        <v>752907037</v>
      </c>
      <c r="M16" s="294">
        <f>743758864.24+103594252.5+115493072.7+116104685.6</f>
        <v>1078950875.04</v>
      </c>
      <c r="N16" s="294">
        <f t="shared" si="0"/>
        <v>2927229078.8000002</v>
      </c>
      <c r="O16" s="528"/>
      <c r="P16" s="292" t="s">
        <v>498</v>
      </c>
      <c r="Q16" s="8"/>
      <c r="R16" s="5"/>
    </row>
    <row r="17" spans="1:17" s="5" customFormat="1" ht="66.75" customHeight="1" outlineLevel="1" x14ac:dyDescent="0.25">
      <c r="A17" s="532">
        <v>8</v>
      </c>
      <c r="B17" s="251" t="s">
        <v>25</v>
      </c>
      <c r="C17" s="521" t="s">
        <v>53</v>
      </c>
      <c r="D17" s="531" t="s">
        <v>49</v>
      </c>
      <c r="E17" s="276" t="s">
        <v>497</v>
      </c>
      <c r="F17" s="541" t="s">
        <v>305</v>
      </c>
      <c r="G17" s="541" t="s">
        <v>54</v>
      </c>
      <c r="H17" s="272" t="s">
        <v>51</v>
      </c>
      <c r="I17" s="34">
        <f>40000000-2500000-1500000</f>
        <v>36000000</v>
      </c>
      <c r="J17" s="294">
        <v>25459684.080000002</v>
      </c>
      <c r="K17" s="293" t="s">
        <v>367</v>
      </c>
      <c r="L17" s="294">
        <v>0</v>
      </c>
      <c r="M17" s="294">
        <f>4091306.45123489+373977422.6/403.57</f>
        <v>5017979.4512101114</v>
      </c>
      <c r="N17" s="294">
        <f t="shared" si="0"/>
        <v>25459684.080000002</v>
      </c>
      <c r="O17" s="521" t="s">
        <v>52</v>
      </c>
      <c r="P17" s="291" t="s">
        <v>498</v>
      </c>
      <c r="Q17" s="8"/>
    </row>
    <row r="18" spans="1:17" s="5" customFormat="1" ht="58.5" customHeight="1" outlineLevel="1" x14ac:dyDescent="0.25">
      <c r="A18" s="533"/>
      <c r="B18" s="251" t="s">
        <v>25</v>
      </c>
      <c r="C18" s="528"/>
      <c r="D18" s="530"/>
      <c r="E18" s="276" t="s">
        <v>499</v>
      </c>
      <c r="F18" s="542"/>
      <c r="G18" s="542"/>
      <c r="H18" s="276" t="s">
        <v>2</v>
      </c>
      <c r="I18" s="34"/>
      <c r="J18" s="294">
        <v>1298916975.1000001</v>
      </c>
      <c r="K18" s="293" t="s">
        <v>367</v>
      </c>
      <c r="L18" s="294">
        <v>563212.19999999995</v>
      </c>
      <c r="M18" s="294">
        <f>165583419.3+41681454.8</f>
        <v>207264874.10000002</v>
      </c>
      <c r="N18" s="294">
        <f t="shared" si="0"/>
        <v>1298353762.9000001</v>
      </c>
      <c r="O18" s="528"/>
      <c r="P18" s="292" t="s">
        <v>498</v>
      </c>
      <c r="Q18" s="8"/>
    </row>
    <row r="19" spans="1:17" s="5" customFormat="1" ht="70.5" customHeight="1" outlineLevel="1" x14ac:dyDescent="0.25">
      <c r="A19" s="532">
        <v>9</v>
      </c>
      <c r="B19" s="262" t="s">
        <v>25</v>
      </c>
      <c r="C19" s="521" t="s">
        <v>55</v>
      </c>
      <c r="D19" s="531" t="s">
        <v>49</v>
      </c>
      <c r="E19" s="276" t="s">
        <v>497</v>
      </c>
      <c r="F19" s="541" t="s">
        <v>306</v>
      </c>
      <c r="G19" s="541" t="s">
        <v>56</v>
      </c>
      <c r="H19" s="272" t="s">
        <v>51</v>
      </c>
      <c r="I19" s="34">
        <v>23194486</v>
      </c>
      <c r="J19" s="294">
        <v>14065561.98</v>
      </c>
      <c r="K19" s="264" t="s">
        <v>367</v>
      </c>
      <c r="L19" s="294">
        <v>0</v>
      </c>
      <c r="M19" s="294">
        <f>1316813.632+122778919.2/386.33+153358408.7/402.99+182294474.3/387.69</f>
        <v>2485380.2321278523</v>
      </c>
      <c r="N19" s="294">
        <f t="shared" si="0"/>
        <v>14065561.98</v>
      </c>
      <c r="O19" s="521" t="s">
        <v>52</v>
      </c>
      <c r="P19" s="291" t="s">
        <v>498</v>
      </c>
      <c r="Q19" s="8"/>
    </row>
    <row r="20" spans="1:17" s="5" customFormat="1" ht="66.75" customHeight="1" outlineLevel="1" x14ac:dyDescent="0.25">
      <c r="A20" s="533"/>
      <c r="B20" s="262" t="s">
        <v>25</v>
      </c>
      <c r="C20" s="522"/>
      <c r="D20" s="529"/>
      <c r="E20" s="276" t="s">
        <v>499</v>
      </c>
      <c r="F20" s="542"/>
      <c r="G20" s="542"/>
      <c r="H20" s="276" t="s">
        <v>2</v>
      </c>
      <c r="I20" s="34"/>
      <c r="J20" s="294">
        <v>1715005397.0999999</v>
      </c>
      <c r="K20" s="264" t="s">
        <v>367</v>
      </c>
      <c r="L20" s="294">
        <v>91463799.799999997</v>
      </c>
      <c r="M20" s="294">
        <f>119885553.7+36155098.5+43333756.7+53344969.4</f>
        <v>252719378.29999998</v>
      </c>
      <c r="N20" s="294">
        <f t="shared" si="0"/>
        <v>1623541597.3</v>
      </c>
      <c r="O20" s="528"/>
      <c r="P20" s="292" t="s">
        <v>498</v>
      </c>
      <c r="Q20" s="8"/>
    </row>
    <row r="21" spans="1:17" s="5" customFormat="1" ht="48" customHeight="1" outlineLevel="1" x14ac:dyDescent="0.25">
      <c r="A21" s="532">
        <v>10</v>
      </c>
      <c r="B21" s="262" t="s">
        <v>57</v>
      </c>
      <c r="C21" s="522"/>
      <c r="D21" s="529"/>
      <c r="E21" s="276" t="s">
        <v>497</v>
      </c>
      <c r="F21" s="541" t="s">
        <v>307</v>
      </c>
      <c r="G21" s="541" t="s">
        <v>56</v>
      </c>
      <c r="H21" s="272" t="s">
        <v>51</v>
      </c>
      <c r="I21" s="294">
        <v>16662617.070000002</v>
      </c>
      <c r="J21" s="294">
        <v>16662617.070000002</v>
      </c>
      <c r="K21" s="264" t="s">
        <v>367</v>
      </c>
      <c r="L21" s="294"/>
      <c r="M21" s="294">
        <f>2194958+182027405/386.38+218562808/403.19+223111756.9/387.69</f>
        <v>3783641.8022023076</v>
      </c>
      <c r="N21" s="294">
        <f t="shared" si="0"/>
        <v>16662617.070000002</v>
      </c>
      <c r="O21" s="521" t="s">
        <v>52</v>
      </c>
      <c r="P21" s="291" t="s">
        <v>498</v>
      </c>
      <c r="Q21" s="8"/>
    </row>
    <row r="22" spans="1:17" s="5" customFormat="1" ht="54.75" customHeight="1" outlineLevel="1" x14ac:dyDescent="0.25">
      <c r="A22" s="533"/>
      <c r="B22" s="262" t="s">
        <v>57</v>
      </c>
      <c r="C22" s="528"/>
      <c r="D22" s="530"/>
      <c r="E22" s="276" t="s">
        <v>499</v>
      </c>
      <c r="F22" s="542"/>
      <c r="G22" s="542"/>
      <c r="H22" s="272" t="s">
        <v>2</v>
      </c>
      <c r="I22" s="9"/>
      <c r="J22" s="294">
        <v>2003005775.2</v>
      </c>
      <c r="K22" s="264" t="s">
        <v>367</v>
      </c>
      <c r="L22" s="294"/>
      <c r="M22" s="294">
        <f>238604865.8+56631905+65163658.9+69156989.1</f>
        <v>429557418.79999995</v>
      </c>
      <c r="N22" s="294">
        <f t="shared" si="0"/>
        <v>2003005775.2</v>
      </c>
      <c r="O22" s="528"/>
      <c r="P22" s="292" t="s">
        <v>498</v>
      </c>
      <c r="Q22" s="8"/>
    </row>
    <row r="23" spans="1:17" s="5" customFormat="1" ht="57.75" customHeight="1" outlineLevel="1" x14ac:dyDescent="0.25">
      <c r="A23" s="532">
        <v>11</v>
      </c>
      <c r="B23" s="262" t="s">
        <v>25</v>
      </c>
      <c r="C23" s="521" t="s">
        <v>58</v>
      </c>
      <c r="D23" s="531" t="s">
        <v>59</v>
      </c>
      <c r="E23" s="276" t="s">
        <v>497</v>
      </c>
      <c r="F23" s="541" t="s">
        <v>305</v>
      </c>
      <c r="G23" s="531" t="s">
        <v>60</v>
      </c>
      <c r="H23" s="272" t="s">
        <v>61</v>
      </c>
      <c r="I23" s="36">
        <v>13988153</v>
      </c>
      <c r="J23" s="294">
        <v>8262785.6411363389</v>
      </c>
      <c r="K23" s="264">
        <v>3.1399999999999997E-2</v>
      </c>
      <c r="L23" s="294">
        <f>1430873.60020494+107795234.9/520.68+109739226/530.07+105995907.4/511.99</f>
        <v>2051956.5004417119</v>
      </c>
      <c r="M23" s="294">
        <f>1219413.93+55848657.5/520.68+55104222/530.07+51579050.2/511.99</f>
        <v>1531373.7301682285</v>
      </c>
      <c r="N23" s="294">
        <f t="shared" si="0"/>
        <v>6210829.1406946275</v>
      </c>
      <c r="O23" s="521" t="s">
        <v>52</v>
      </c>
      <c r="P23" s="291" t="s">
        <v>498</v>
      </c>
      <c r="Q23" s="8"/>
    </row>
    <row r="24" spans="1:17" s="5" customFormat="1" ht="59.25" customHeight="1" outlineLevel="1" x14ac:dyDescent="0.25">
      <c r="A24" s="533"/>
      <c r="B24" s="262" t="s">
        <v>25</v>
      </c>
      <c r="C24" s="522"/>
      <c r="D24" s="529"/>
      <c r="E24" s="276" t="s">
        <v>499</v>
      </c>
      <c r="F24" s="542"/>
      <c r="G24" s="530"/>
      <c r="H24" s="276" t="s">
        <v>2</v>
      </c>
      <c r="I24" s="37"/>
      <c r="J24" s="294">
        <v>1194787815</v>
      </c>
      <c r="K24" s="264">
        <v>3.1399999999999997E-2</v>
      </c>
      <c r="L24" s="294">
        <f>209123295.3+29868621.8+29868621.8+29868621.8</f>
        <v>298729160.70000005</v>
      </c>
      <c r="M24" s="294">
        <f>177460224.6+15474933+14998180+14534453</f>
        <v>222467790.59999999</v>
      </c>
      <c r="N24" s="294">
        <f t="shared" si="0"/>
        <v>896058654.29999995</v>
      </c>
      <c r="O24" s="528"/>
      <c r="P24" s="292" t="s">
        <v>498</v>
      </c>
      <c r="Q24" s="8"/>
    </row>
    <row r="25" spans="1:17" s="5" customFormat="1" ht="51.75" customHeight="1" outlineLevel="1" x14ac:dyDescent="0.25">
      <c r="A25" s="532">
        <v>12</v>
      </c>
      <c r="B25" s="262" t="s">
        <v>62</v>
      </c>
      <c r="C25" s="522"/>
      <c r="D25" s="529"/>
      <c r="E25" s="276" t="s">
        <v>497</v>
      </c>
      <c r="F25" s="541" t="s">
        <v>308</v>
      </c>
      <c r="G25" s="531" t="s">
        <v>60</v>
      </c>
      <c r="H25" s="272" t="s">
        <v>61</v>
      </c>
      <c r="I25" s="36">
        <v>10098535</v>
      </c>
      <c r="J25" s="294">
        <v>10121386.37101347</v>
      </c>
      <c r="K25" s="264">
        <v>3.1399999999999997E-2</v>
      </c>
      <c r="L25" s="294">
        <f>1520990.1+136750579/520.29+138244588/530.59+133398381/511.99</f>
        <v>2304923.0035929154</v>
      </c>
      <c r="M25" s="294">
        <f>832426.027338+83294453/525+70252782/520.29+69454072/530.59+64924992/511.99</f>
        <v>1383817.1311368861</v>
      </c>
      <c r="N25" s="294">
        <f t="shared" si="0"/>
        <v>7816463.3674205542</v>
      </c>
      <c r="O25" s="521" t="s">
        <v>52</v>
      </c>
      <c r="P25" s="291" t="s">
        <v>498</v>
      </c>
      <c r="Q25" s="8"/>
    </row>
    <row r="26" spans="1:17" s="5" customFormat="1" ht="47.25" customHeight="1" outlineLevel="1" x14ac:dyDescent="0.25">
      <c r="A26" s="533"/>
      <c r="B26" s="262" t="s">
        <v>62</v>
      </c>
      <c r="C26" s="528"/>
      <c r="D26" s="530"/>
      <c r="E26" s="276" t="s">
        <v>499</v>
      </c>
      <c r="F26" s="542"/>
      <c r="G26" s="530"/>
      <c r="H26" s="276" t="s">
        <v>2</v>
      </c>
      <c r="I26" s="37"/>
      <c r="J26" s="294">
        <v>794162455.89999998</v>
      </c>
      <c r="K26" s="264">
        <v>3.1399999999999997E-2</v>
      </c>
      <c r="L26" s="294">
        <f>123592049.7+20623615+20310837+20310837</f>
        <v>184837338.69999999</v>
      </c>
      <c r="M26" s="294">
        <f>78534680.8+10527955+10204165+9885285</f>
        <v>109152085.8</v>
      </c>
      <c r="N26" s="294">
        <f t="shared" si="0"/>
        <v>609325117.20000005</v>
      </c>
      <c r="O26" s="528"/>
      <c r="P26" s="292" t="s">
        <v>498</v>
      </c>
      <c r="Q26" s="8"/>
    </row>
    <row r="27" spans="1:17" s="5" customFormat="1" ht="48" customHeight="1" outlineLevel="1" x14ac:dyDescent="0.25">
      <c r="A27" s="270">
        <v>13</v>
      </c>
      <c r="B27" s="277" t="s">
        <v>25</v>
      </c>
      <c r="C27" s="521" t="s">
        <v>63</v>
      </c>
      <c r="D27" s="531" t="s">
        <v>64</v>
      </c>
      <c r="E27" s="276" t="s">
        <v>497</v>
      </c>
      <c r="F27" s="275" t="s">
        <v>309</v>
      </c>
      <c r="G27" s="276" t="s">
        <v>65</v>
      </c>
      <c r="H27" s="272" t="s">
        <v>51</v>
      </c>
      <c r="I27" s="294">
        <v>19600000</v>
      </c>
      <c r="J27" s="294">
        <v>19419334.870000001</v>
      </c>
      <c r="K27" s="295">
        <v>5.0000000000000001E-3</v>
      </c>
      <c r="L27" s="294">
        <f>9716960.66852489+189584407.5/488.5+172026989.7/443.26+153375144/395.2+150045288.9/386.62+156421689.8/403.05</f>
        <v>11657435.668648943</v>
      </c>
      <c r="M27" s="294">
        <f>1129921.93024286+16077756.3/488.5+14096288.6/443.26+12233850.7/395.2+11546870.2/386.62+11574265.9/403.05</f>
        <v>1284174.8301751786</v>
      </c>
      <c r="N27" s="294">
        <f t="shared" si="0"/>
        <v>7761899.2013510577</v>
      </c>
      <c r="O27" s="140" t="s">
        <v>52</v>
      </c>
      <c r="P27" s="204" t="s">
        <v>498</v>
      </c>
      <c r="Q27" s="8"/>
    </row>
    <row r="28" spans="1:17" s="5" customFormat="1" ht="60" customHeight="1" outlineLevel="1" x14ac:dyDescent="0.25">
      <c r="A28" s="270">
        <v>14</v>
      </c>
      <c r="B28" s="277" t="s">
        <v>62</v>
      </c>
      <c r="C28" s="528"/>
      <c r="D28" s="530"/>
      <c r="E28" s="276" t="s">
        <v>497</v>
      </c>
      <c r="F28" s="275" t="s">
        <v>310</v>
      </c>
      <c r="G28" s="276" t="s">
        <v>66</v>
      </c>
      <c r="H28" s="272" t="s">
        <v>51</v>
      </c>
      <c r="I28" s="294">
        <v>297276.53999999998</v>
      </c>
      <c r="J28" s="294">
        <v>297276.53999999998</v>
      </c>
      <c r="K28" s="293" t="s">
        <v>67</v>
      </c>
      <c r="L28" s="294">
        <f>257638.543537781+4361667/440.15+3916234/395.2+3837157/387.22+3994520/403.1</f>
        <v>297276.54625526333</v>
      </c>
      <c r="M28" s="294">
        <f>229541.53251276+1912186/489.99+1556591/440.15+1259898/395.2+1094284/387.22+991707/403.1</f>
        <v>245454.73643449965</v>
      </c>
      <c r="N28" s="294">
        <f t="shared" si="0"/>
        <v>-6.255263346247375E-3</v>
      </c>
      <c r="O28" s="140" t="s">
        <v>52</v>
      </c>
      <c r="P28" s="204" t="s">
        <v>498</v>
      </c>
      <c r="Q28" s="8"/>
    </row>
    <row r="29" spans="1:17" s="5" customFormat="1" ht="51" customHeight="1" outlineLevel="1" x14ac:dyDescent="0.25">
      <c r="A29" s="270">
        <v>15</v>
      </c>
      <c r="B29" s="277" t="s">
        <v>62</v>
      </c>
      <c r="C29" s="534" t="s">
        <v>68</v>
      </c>
      <c r="D29" s="531" t="s">
        <v>69</v>
      </c>
      <c r="E29" s="276" t="s">
        <v>497</v>
      </c>
      <c r="F29" s="275" t="s">
        <v>311</v>
      </c>
      <c r="G29" s="276" t="s">
        <v>70</v>
      </c>
      <c r="H29" s="276" t="s">
        <v>71</v>
      </c>
      <c r="I29" s="294">
        <v>1571940173.3299999</v>
      </c>
      <c r="J29" s="294">
        <v>1598519063</v>
      </c>
      <c r="K29" s="295">
        <v>1.7999999999999999E-2</v>
      </c>
      <c r="L29" s="294">
        <f>1030178646.5+123394332/3.026+109815247/2.693+110426917/2.708</f>
        <v>1152512749.7454691</v>
      </c>
      <c r="M29" s="294">
        <f>226837831.925937+13873556/3.026+11211247/2.693+10505503/2.708</f>
        <v>239465155.16541752</v>
      </c>
      <c r="N29" s="294">
        <f t="shared" si="0"/>
        <v>446006313.25453091</v>
      </c>
      <c r="O29" s="140" t="s">
        <v>52</v>
      </c>
      <c r="P29" s="204" t="s">
        <v>498</v>
      </c>
      <c r="Q29" s="8"/>
    </row>
    <row r="30" spans="1:17" s="5" customFormat="1" ht="41.25" customHeight="1" outlineLevel="1" x14ac:dyDescent="0.25">
      <c r="A30" s="270">
        <v>16</v>
      </c>
      <c r="B30" s="271" t="s">
        <v>72</v>
      </c>
      <c r="C30" s="527"/>
      <c r="D30" s="530"/>
      <c r="E30" s="276" t="s">
        <v>497</v>
      </c>
      <c r="F30" s="275" t="s">
        <v>312</v>
      </c>
      <c r="G30" s="276" t="s">
        <v>70</v>
      </c>
      <c r="H30" s="276" t="s">
        <v>71</v>
      </c>
      <c r="I30" s="294">
        <v>3796371795.6700001</v>
      </c>
      <c r="J30" s="294">
        <v>3861444249</v>
      </c>
      <c r="K30" s="295">
        <v>1.7999999999999999E-2</v>
      </c>
      <c r="L30" s="294">
        <f>2513837447.56+291897058.6/3.026+259774877.3/2.693+261800600/2.714</f>
        <v>2803226467.7953391</v>
      </c>
      <c r="M30" s="294">
        <f>553224853.256799+32762341/3.026+26475306.9/2.693+24863667/2.714</f>
        <v>583044220.17120647</v>
      </c>
      <c r="N30" s="294">
        <f t="shared" si="0"/>
        <v>1058217781.2046609</v>
      </c>
      <c r="O30" s="140" t="s">
        <v>52</v>
      </c>
      <c r="P30" s="204" t="s">
        <v>498</v>
      </c>
      <c r="Q30" s="8"/>
    </row>
    <row r="31" spans="1:17" s="5" customFormat="1" ht="69" customHeight="1" outlineLevel="1" x14ac:dyDescent="0.25">
      <c r="A31" s="532">
        <v>17</v>
      </c>
      <c r="B31" s="277" t="s">
        <v>73</v>
      </c>
      <c r="C31" s="521" t="s">
        <v>74</v>
      </c>
      <c r="D31" s="531" t="s">
        <v>64</v>
      </c>
      <c r="E31" s="276" t="s">
        <v>497</v>
      </c>
      <c r="F31" s="541" t="s">
        <v>313</v>
      </c>
      <c r="G31" s="531" t="s">
        <v>75</v>
      </c>
      <c r="H31" s="272" t="s">
        <v>51</v>
      </c>
      <c r="I31" s="294">
        <v>4846628.13</v>
      </c>
      <c r="J31" s="294">
        <v>4737831.22</v>
      </c>
      <c r="K31" s="293">
        <v>7.4999999999999997E-3</v>
      </c>
      <c r="L31" s="294">
        <f>616176.07+18729201/386.44+19508050/402.51+18791723/387.73</f>
        <v>761574.0728560643</v>
      </c>
      <c r="M31" s="294">
        <f>353441.51+5923430/386.44+6198654/402.51+5835491.6/387.73</f>
        <v>399220.11103502067</v>
      </c>
      <c r="N31" s="294">
        <f t="shared" si="0"/>
        <v>3976257.1471439353</v>
      </c>
      <c r="O31" s="140" t="s">
        <v>76</v>
      </c>
      <c r="P31" s="204" t="s">
        <v>498</v>
      </c>
      <c r="Q31" s="8"/>
    </row>
    <row r="32" spans="1:17" s="5" customFormat="1" ht="69" customHeight="1" outlineLevel="1" x14ac:dyDescent="0.25">
      <c r="A32" s="533"/>
      <c r="B32" s="277" t="s">
        <v>73</v>
      </c>
      <c r="C32" s="528"/>
      <c r="D32" s="530"/>
      <c r="E32" s="276" t="s">
        <v>499</v>
      </c>
      <c r="F32" s="542"/>
      <c r="G32" s="530"/>
      <c r="H32" s="276" t="s">
        <v>2</v>
      </c>
      <c r="I32" s="294">
        <v>1740568345.9000001</v>
      </c>
      <c r="J32" s="294">
        <v>1740568345.9000001</v>
      </c>
      <c r="K32" s="293">
        <v>7.4999999999999997E-3</v>
      </c>
      <c r="L32" s="294">
        <f>247100359+17402579+17402579+17402579</f>
        <v>299308096</v>
      </c>
      <c r="M32" s="294">
        <f>128165336.87+5554115.8+5580740.4+5454641.8</f>
        <v>144754834.87</v>
      </c>
      <c r="N32" s="294">
        <f t="shared" si="0"/>
        <v>1441260249.9000001</v>
      </c>
      <c r="O32" s="140" t="s">
        <v>76</v>
      </c>
      <c r="P32" s="204" t="s">
        <v>498</v>
      </c>
      <c r="Q32" s="8"/>
    </row>
    <row r="33" spans="1:18" ht="87" customHeight="1" outlineLevel="1" x14ac:dyDescent="0.25">
      <c r="A33" s="270">
        <v>18</v>
      </c>
      <c r="B33" s="277" t="s">
        <v>77</v>
      </c>
      <c r="C33" s="271" t="s">
        <v>78</v>
      </c>
      <c r="D33" s="276" t="s">
        <v>27</v>
      </c>
      <c r="E33" s="276" t="s">
        <v>497</v>
      </c>
      <c r="F33" s="275" t="s">
        <v>314</v>
      </c>
      <c r="G33" s="275" t="s">
        <v>79</v>
      </c>
      <c r="H33" s="272" t="s">
        <v>29</v>
      </c>
      <c r="I33" s="39">
        <v>17895215.550000001</v>
      </c>
      <c r="J33" s="294">
        <v>17895215.550000001</v>
      </c>
      <c r="K33" s="293">
        <v>7.4999999999999997E-3</v>
      </c>
      <c r="L33" s="294">
        <f>7748628.1+130294835.3/415.04+137735052.2/438.74+131942984.6/420.29</f>
        <v>8690427.6999388505</v>
      </c>
      <c r="M33" s="294">
        <f>2568161.28+12471869/415.04+3320320/414.34+16171473.8/438.74+15002335.6/420.29</f>
        <v>2678778.6955025364</v>
      </c>
      <c r="N33" s="294">
        <f t="shared" si="0"/>
        <v>9204787.8500611503</v>
      </c>
      <c r="O33" s="140" t="s">
        <v>52</v>
      </c>
      <c r="P33" s="204" t="s">
        <v>498</v>
      </c>
      <c r="Q33" s="8"/>
      <c r="R33" s="5"/>
    </row>
    <row r="34" spans="1:18" ht="55.5" customHeight="1" outlineLevel="1" x14ac:dyDescent="0.25">
      <c r="A34" s="532">
        <v>19</v>
      </c>
      <c r="B34" s="262" t="s">
        <v>80</v>
      </c>
      <c r="C34" s="521" t="s">
        <v>81</v>
      </c>
      <c r="D34" s="521" t="s">
        <v>277</v>
      </c>
      <c r="E34" s="271" t="s">
        <v>497</v>
      </c>
      <c r="F34" s="521" t="s">
        <v>315</v>
      </c>
      <c r="G34" s="271" t="s">
        <v>82</v>
      </c>
      <c r="H34" s="272" t="s">
        <v>29</v>
      </c>
      <c r="I34" s="42">
        <v>22000000</v>
      </c>
      <c r="J34" s="294">
        <v>21247150.510000002</v>
      </c>
      <c r="K34" s="274" t="s">
        <v>83</v>
      </c>
      <c r="L34" s="294">
        <f>1047000+1047000+1047000+1047000+1047000+1047000+1047000</f>
        <v>7329000</v>
      </c>
      <c r="M34" s="294">
        <v>2375876.2999999998</v>
      </c>
      <c r="N34" s="294">
        <f>I34-L34</f>
        <v>14671000</v>
      </c>
      <c r="O34" s="521" t="s">
        <v>439</v>
      </c>
      <c r="P34" s="291" t="s">
        <v>498</v>
      </c>
      <c r="Q34" s="8"/>
      <c r="R34" s="5"/>
    </row>
    <row r="35" spans="1:18" ht="68.25" customHeight="1" outlineLevel="1" x14ac:dyDescent="0.25">
      <c r="A35" s="525"/>
      <c r="B35" s="262" t="s">
        <v>80</v>
      </c>
      <c r="C35" s="522"/>
      <c r="D35" s="522"/>
      <c r="E35" s="271" t="s">
        <v>497</v>
      </c>
      <c r="F35" s="522"/>
      <c r="G35" s="271" t="s">
        <v>85</v>
      </c>
      <c r="H35" s="272" t="s">
        <v>29</v>
      </c>
      <c r="I35" s="42">
        <v>14500000</v>
      </c>
      <c r="J35" s="294">
        <v>14491281.059999999</v>
      </c>
      <c r="K35" s="274" t="s">
        <v>30</v>
      </c>
      <c r="L35" s="294">
        <f>241000+241000+241000+241000+241000+241000+241000</f>
        <v>1687000</v>
      </c>
      <c r="M35" s="294">
        <v>628643.69999999995</v>
      </c>
      <c r="N35" s="294">
        <f>I35-L35</f>
        <v>12813000</v>
      </c>
      <c r="O35" s="522"/>
      <c r="P35" s="327" t="s">
        <v>498</v>
      </c>
      <c r="Q35" s="8"/>
      <c r="R35" s="5"/>
    </row>
    <row r="36" spans="1:18" ht="62.25" customHeight="1" outlineLevel="1" x14ac:dyDescent="0.25">
      <c r="A36" s="533"/>
      <c r="B36" s="262" t="s">
        <v>80</v>
      </c>
      <c r="C36" s="528"/>
      <c r="D36" s="528"/>
      <c r="E36" s="271" t="s">
        <v>497</v>
      </c>
      <c r="F36" s="528"/>
      <c r="G36" s="271" t="s">
        <v>86</v>
      </c>
      <c r="H36" s="272" t="s">
        <v>29</v>
      </c>
      <c r="I36" s="42">
        <v>14500000</v>
      </c>
      <c r="J36" s="294">
        <v>14500000.000000002</v>
      </c>
      <c r="K36" s="274" t="s">
        <v>87</v>
      </c>
      <c r="L36" s="294">
        <f>2519999.6+630000+630000+630000</f>
        <v>4409999.5999999996</v>
      </c>
      <c r="M36" s="294">
        <v>2336020</v>
      </c>
      <c r="N36" s="294">
        <f>I36-L36</f>
        <v>10090000.4</v>
      </c>
      <c r="O36" s="528"/>
      <c r="P36" s="292" t="s">
        <v>498</v>
      </c>
      <c r="Q36" s="8"/>
      <c r="R36" s="5"/>
    </row>
    <row r="37" spans="1:18" ht="94.5" customHeight="1" outlineLevel="1" x14ac:dyDescent="0.25">
      <c r="A37" s="270">
        <v>20</v>
      </c>
      <c r="B37" s="271" t="s">
        <v>88</v>
      </c>
      <c r="C37" s="277" t="s">
        <v>89</v>
      </c>
      <c r="D37" s="276" t="s">
        <v>69</v>
      </c>
      <c r="E37" s="276" t="s">
        <v>497</v>
      </c>
      <c r="F37" s="275" t="s">
        <v>316</v>
      </c>
      <c r="G37" s="276" t="s">
        <v>90</v>
      </c>
      <c r="H37" s="276" t="s">
        <v>71</v>
      </c>
      <c r="I37" s="279">
        <v>26409000000</v>
      </c>
      <c r="J37" s="294">
        <v>26399286331</v>
      </c>
      <c r="K37" s="293">
        <v>7.4999999999999997E-3</v>
      </c>
      <c r="L37" s="294">
        <f>7357230331.16835+1131704010/2.615+1153775484/2.666</f>
        <v>8222778331.1683502</v>
      </c>
      <c r="M37" s="294">
        <f>2607354309.06995+188428717.2/2.615+185536580.8/2.666</f>
        <v>2749004796.0961809</v>
      </c>
      <c r="N37" s="273">
        <f t="shared" ref="N37:N45" si="1">J37-L37</f>
        <v>18176507999.83165</v>
      </c>
      <c r="O37" s="140" t="s">
        <v>91</v>
      </c>
      <c r="P37" s="204" t="s">
        <v>498</v>
      </c>
      <c r="Q37" s="8"/>
      <c r="R37" s="5"/>
    </row>
    <row r="38" spans="1:18" ht="71.25" customHeight="1" outlineLevel="1" x14ac:dyDescent="0.25">
      <c r="A38" s="270">
        <v>21</v>
      </c>
      <c r="B38" s="277" t="s">
        <v>25</v>
      </c>
      <c r="C38" s="271" t="s">
        <v>92</v>
      </c>
      <c r="D38" s="271" t="s">
        <v>93</v>
      </c>
      <c r="E38" s="271" t="s">
        <v>497</v>
      </c>
      <c r="F38" s="275" t="s">
        <v>317</v>
      </c>
      <c r="G38" s="276" t="s">
        <v>94</v>
      </c>
      <c r="H38" s="272" t="s">
        <v>51</v>
      </c>
      <c r="I38" s="294">
        <v>8988290</v>
      </c>
      <c r="J38" s="294">
        <v>8988290</v>
      </c>
      <c r="K38" s="295">
        <v>5.0000000000000001E-3</v>
      </c>
      <c r="L38" s="294">
        <f>4199999.97+600000+600000+289644000/482.74+290820000/484.7+286458000/477.43+600000+600000+231939215.4/394.26</f>
        <v>8988289.9699999988</v>
      </c>
      <c r="M38" s="294">
        <f>838542.942447016+522591.6/394.26</f>
        <v>839868.44237092405</v>
      </c>
      <c r="N38" s="273">
        <f t="shared" si="1"/>
        <v>3.0000001192092896E-2</v>
      </c>
      <c r="O38" s="140" t="s">
        <v>76</v>
      </c>
      <c r="P38" s="204" t="s">
        <v>498</v>
      </c>
      <c r="Q38" s="8"/>
      <c r="R38" s="5"/>
    </row>
    <row r="39" spans="1:18" ht="73.5" customHeight="1" outlineLevel="1" x14ac:dyDescent="0.25">
      <c r="A39" s="270">
        <v>22</v>
      </c>
      <c r="B39" s="277" t="s">
        <v>95</v>
      </c>
      <c r="C39" s="271" t="s">
        <v>92</v>
      </c>
      <c r="D39" s="271" t="s">
        <v>96</v>
      </c>
      <c r="E39" s="271" t="s">
        <v>497</v>
      </c>
      <c r="F39" s="43" t="s">
        <v>318</v>
      </c>
      <c r="G39" s="294" t="s">
        <v>97</v>
      </c>
      <c r="H39" s="40" t="s">
        <v>2</v>
      </c>
      <c r="I39" s="294">
        <v>1757100000</v>
      </c>
      <c r="J39" s="294">
        <v>1757100000</v>
      </c>
      <c r="K39" s="293">
        <v>7.4999999999999997E-3</v>
      </c>
      <c r="L39" s="294">
        <f>439275000+62753571.5+62753571.5+62753571.3+62753571.4+62753571.4+62753571.4+62753571.5+62753571.5+62753571.5</f>
        <v>1004057142.9999999</v>
      </c>
      <c r="M39" s="294">
        <f>303383430.5+3313904.4+3032802.7</f>
        <v>309730137.59999996</v>
      </c>
      <c r="N39" s="273">
        <f t="shared" si="1"/>
        <v>753042857.00000012</v>
      </c>
      <c r="O39" s="140" t="s">
        <v>76</v>
      </c>
      <c r="P39" s="204" t="s">
        <v>498</v>
      </c>
      <c r="Q39" s="8"/>
      <c r="R39" s="5"/>
    </row>
    <row r="40" spans="1:18" ht="82.5" customHeight="1" outlineLevel="1" x14ac:dyDescent="0.25">
      <c r="A40" s="260">
        <v>23</v>
      </c>
      <c r="B40" s="277" t="s">
        <v>95</v>
      </c>
      <c r="C40" s="251" t="s">
        <v>98</v>
      </c>
      <c r="D40" s="271" t="s">
        <v>463</v>
      </c>
      <c r="E40" s="271" t="s">
        <v>441</v>
      </c>
      <c r="F40" s="43" t="s">
        <v>319</v>
      </c>
      <c r="G40" s="294" t="s">
        <v>99</v>
      </c>
      <c r="H40" s="40" t="s">
        <v>2</v>
      </c>
      <c r="I40" s="294">
        <v>18700000000</v>
      </c>
      <c r="J40" s="294">
        <v>18700000000</v>
      </c>
      <c r="K40" s="264">
        <v>7.4999999999999997E-2</v>
      </c>
      <c r="L40" s="294">
        <f>890476190.5+890476190.5+890476190.5+890476190.5</f>
        <v>3561904762</v>
      </c>
      <c r="M40" s="294">
        <f>1333335616.4+703171232.9+699328767.1+670052837.5+632909002+602718199.6</f>
        <v>4641515655.5</v>
      </c>
      <c r="N40" s="273">
        <f t="shared" si="1"/>
        <v>15138095238</v>
      </c>
      <c r="O40" s="140" t="s">
        <v>76</v>
      </c>
      <c r="P40" s="204" t="s">
        <v>498</v>
      </c>
      <c r="Q40" s="8"/>
      <c r="R40" s="5"/>
    </row>
    <row r="41" spans="1:18" ht="63.75" customHeight="1" outlineLevel="1" x14ac:dyDescent="0.25">
      <c r="A41" s="260">
        <v>24</v>
      </c>
      <c r="B41" s="277" t="s">
        <v>95</v>
      </c>
      <c r="C41" s="251" t="s">
        <v>278</v>
      </c>
      <c r="D41" s="271" t="s">
        <v>463</v>
      </c>
      <c r="E41" s="251" t="s">
        <v>441</v>
      </c>
      <c r="F41" s="44"/>
      <c r="G41" s="294" t="s">
        <v>265</v>
      </c>
      <c r="H41" s="40" t="s">
        <v>2</v>
      </c>
      <c r="I41" s="294">
        <v>25000000000</v>
      </c>
      <c r="J41" s="294">
        <v>25000000000</v>
      </c>
      <c r="K41" s="264">
        <v>0.09</v>
      </c>
      <c r="L41" s="294">
        <f>1190476190.4+1190476190.5</f>
        <v>2380952380.9000001</v>
      </c>
      <c r="M41" s="294">
        <f>1171232876.7+1121917808.3+1128082191.8+1121917808.2+1074363992.2</f>
        <v>5617514677.1999998</v>
      </c>
      <c r="N41" s="273">
        <f t="shared" si="1"/>
        <v>22619047619.099998</v>
      </c>
      <c r="O41" s="140" t="s">
        <v>76</v>
      </c>
      <c r="P41" s="204" t="s">
        <v>498</v>
      </c>
      <c r="Q41" s="8"/>
      <c r="R41" s="5"/>
    </row>
    <row r="42" spans="1:18" ht="78.75" customHeight="1" outlineLevel="1" x14ac:dyDescent="0.25">
      <c r="A42" s="532">
        <v>25</v>
      </c>
      <c r="B42" s="262" t="s">
        <v>95</v>
      </c>
      <c r="C42" s="521" t="s">
        <v>100</v>
      </c>
      <c r="D42" s="276" t="s">
        <v>472</v>
      </c>
      <c r="E42" s="259" t="s">
        <v>497</v>
      </c>
      <c r="F42" s="541" t="s">
        <v>321</v>
      </c>
      <c r="G42" s="543" t="s">
        <v>102</v>
      </c>
      <c r="H42" s="272" t="s">
        <v>51</v>
      </c>
      <c r="I42" s="36">
        <v>270000000</v>
      </c>
      <c r="J42" s="294">
        <v>173574580.28</v>
      </c>
      <c r="K42" s="269">
        <v>0.03</v>
      </c>
      <c r="L42" s="294">
        <f>51199088.7002228+3370009369.8/394.93+3295429324.9/386.19+3461143748.2/405.61</f>
        <v>76798633.100286514</v>
      </c>
      <c r="M42" s="294">
        <f>20309911.275649+723428666.7/394.93+646453366.1/386.19+636850451.3/405.61</f>
        <v>25385731.975636914</v>
      </c>
      <c r="N42" s="273">
        <f t="shared" si="1"/>
        <v>96775947.179713488</v>
      </c>
      <c r="O42" s="521" t="s">
        <v>84</v>
      </c>
      <c r="P42" s="291" t="s">
        <v>498</v>
      </c>
      <c r="Q42" s="8"/>
      <c r="R42" s="5"/>
    </row>
    <row r="43" spans="1:18" ht="71.25" customHeight="1" outlineLevel="1" x14ac:dyDescent="0.25">
      <c r="A43" s="533"/>
      <c r="B43" s="262" t="s">
        <v>95</v>
      </c>
      <c r="C43" s="528"/>
      <c r="D43" s="271" t="s">
        <v>463</v>
      </c>
      <c r="E43" s="256" t="s">
        <v>499</v>
      </c>
      <c r="F43" s="542"/>
      <c r="G43" s="544"/>
      <c r="H43" s="40" t="s">
        <v>2</v>
      </c>
      <c r="I43" s="37">
        <v>1265847400</v>
      </c>
      <c r="J43" s="294">
        <f>9509488626+108542329</f>
        <v>9618030955</v>
      </c>
      <c r="K43" s="269">
        <v>0.03</v>
      </c>
      <c r="L43" s="294">
        <f>2858334735.47632+482835444.3+482835444.2+482835444.3</f>
        <v>4306841068.2763195</v>
      </c>
      <c r="M43" s="294">
        <f>1045375895.11175+103648675.3+94716219.7+88841721.7</f>
        <v>1332582511.8117502</v>
      </c>
      <c r="N43" s="273">
        <f t="shared" si="1"/>
        <v>5311189886.7236805</v>
      </c>
      <c r="O43" s="528"/>
      <c r="P43" s="292" t="s">
        <v>498</v>
      </c>
      <c r="Q43" s="8"/>
      <c r="R43" s="5"/>
    </row>
    <row r="44" spans="1:18" ht="79.5" customHeight="1" outlineLevel="1" x14ac:dyDescent="0.25">
      <c r="A44" s="270">
        <v>26</v>
      </c>
      <c r="B44" s="277" t="s">
        <v>95</v>
      </c>
      <c r="C44" s="271" t="s">
        <v>103</v>
      </c>
      <c r="D44" s="531" t="s">
        <v>49</v>
      </c>
      <c r="E44" s="258" t="s">
        <v>497</v>
      </c>
      <c r="F44" s="266" t="s">
        <v>322</v>
      </c>
      <c r="G44" s="268" t="s">
        <v>104</v>
      </c>
      <c r="H44" s="31" t="s">
        <v>51</v>
      </c>
      <c r="I44" s="36">
        <v>8907500</v>
      </c>
      <c r="J44" s="294">
        <v>8907384.7100000009</v>
      </c>
      <c r="K44" s="264" t="s">
        <v>368</v>
      </c>
      <c r="L44" s="294"/>
      <c r="M44" s="294">
        <f>1241236.45+96159781.6/386.38+118034920.8/403.19+119269571.9/387.69</f>
        <v>2090504.2500873837</v>
      </c>
      <c r="N44" s="283">
        <f t="shared" si="1"/>
        <v>8907384.7100000009</v>
      </c>
      <c r="O44" s="250" t="s">
        <v>105</v>
      </c>
      <c r="P44" s="291" t="s">
        <v>498</v>
      </c>
      <c r="Q44" s="8"/>
      <c r="R44" s="5"/>
    </row>
    <row r="45" spans="1:18" ht="116.25" customHeight="1" outlineLevel="1" thickBot="1" x14ac:dyDescent="0.3">
      <c r="A45" s="270">
        <v>27</v>
      </c>
      <c r="B45" s="256" t="s">
        <v>88</v>
      </c>
      <c r="C45" s="252" t="s">
        <v>103</v>
      </c>
      <c r="D45" s="594"/>
      <c r="E45" s="258" t="s">
        <v>497</v>
      </c>
      <c r="F45" s="266" t="s">
        <v>323</v>
      </c>
      <c r="G45" s="51" t="s">
        <v>104</v>
      </c>
      <c r="H45" s="49" t="s">
        <v>51</v>
      </c>
      <c r="I45" s="52">
        <v>21092500</v>
      </c>
      <c r="J45" s="294">
        <v>21092210.790000003</v>
      </c>
      <c r="K45" s="298" t="s">
        <v>368</v>
      </c>
      <c r="L45" s="294"/>
      <c r="M45" s="294">
        <f>3081286.01+227668040/386.38+279535083/403.19+282423985/387.69</f>
        <v>5092306.983008015</v>
      </c>
      <c r="N45" s="282">
        <f t="shared" si="1"/>
        <v>21092210.790000003</v>
      </c>
      <c r="O45" s="250" t="s">
        <v>106</v>
      </c>
      <c r="P45" s="291" t="s">
        <v>498</v>
      </c>
      <c r="Q45" s="8"/>
      <c r="R45" s="5"/>
    </row>
    <row r="46" spans="1:18" s="9" customFormat="1" ht="15" customHeight="1" x14ac:dyDescent="0.25">
      <c r="A46" s="591" t="s">
        <v>115</v>
      </c>
      <c r="B46" s="592"/>
      <c r="C46" s="593"/>
      <c r="D46" s="53"/>
      <c r="E46" s="53"/>
      <c r="F46" s="53"/>
      <c r="G46" s="53"/>
      <c r="H46" s="53" t="s">
        <v>29</v>
      </c>
      <c r="I46" s="10">
        <f>SUMIF($H$5:$H$45,H46,$I$5:$I$45)</f>
        <v>275755742.28000003</v>
      </c>
      <c r="J46" s="10">
        <f>SUMIF($H$5:$H$45,H46,$J$5:$J$45)</f>
        <v>97929055.540000007</v>
      </c>
      <c r="K46" s="10"/>
      <c r="L46" s="10">
        <f>SUMIF($H$5:$H$45,H46,$L$5:$L$45)</f>
        <v>37332523.93978218</v>
      </c>
      <c r="M46" s="10">
        <f>SUMIF($H$5:$H$45,H46,$M$5:$M$45)</f>
        <v>16556680.937624175</v>
      </c>
      <c r="N46" s="10">
        <f>SUMIF($H$5:$H$45,H46,$N$5:$N$45)</f>
        <v>61358100.030217819</v>
      </c>
      <c r="O46" s="147"/>
      <c r="P46" s="325"/>
      <c r="Q46" s="8"/>
      <c r="R46" s="5"/>
    </row>
    <row r="47" spans="1:18" s="9" customFormat="1" ht="15" customHeight="1" x14ac:dyDescent="0.25">
      <c r="A47" s="585"/>
      <c r="B47" s="586"/>
      <c r="C47" s="587"/>
      <c r="D47" s="54"/>
      <c r="E47" s="54"/>
      <c r="F47" s="54"/>
      <c r="G47" s="54"/>
      <c r="H47" s="54" t="s">
        <v>2</v>
      </c>
      <c r="I47" s="11">
        <f>SUMIF($H$5:$H$45,H47,$I$5:$I$45)</f>
        <v>48463515745.900002</v>
      </c>
      <c r="J47" s="11">
        <f>SUMIF($H$5:$H$45,H47,$J$5:$J$45)</f>
        <v>67745795280</v>
      </c>
      <c r="K47" s="11"/>
      <c r="L47" s="11">
        <f>SUMIF($H$5:$H$45,H47,$L$5:$L$45)</f>
        <v>12881563998.576319</v>
      </c>
      <c r="M47" s="11">
        <f>SUMIF($H$5:$H$45,H47,$M$5:$M$45)</f>
        <v>14358730450.12175</v>
      </c>
      <c r="N47" s="11">
        <f>SUMIF($H$5:$H$45,H47,$N$5:$N$45)</f>
        <v>54864231281.423676</v>
      </c>
      <c r="O47" s="148"/>
      <c r="P47" s="318"/>
      <c r="Q47" s="8"/>
      <c r="R47" s="5"/>
    </row>
    <row r="48" spans="1:18" s="9" customFormat="1" ht="15" customHeight="1" x14ac:dyDescent="0.25">
      <c r="A48" s="585"/>
      <c r="B48" s="586"/>
      <c r="C48" s="587"/>
      <c r="D48" s="54"/>
      <c r="E48" s="54"/>
      <c r="F48" s="54"/>
      <c r="G48" s="54"/>
      <c r="H48" s="54" t="s">
        <v>51</v>
      </c>
      <c r="I48" s="11">
        <f>SUMIF($H$5:$H$45,H48,$I$5:$I$45)</f>
        <v>443654882.94000006</v>
      </c>
      <c r="J48" s="11">
        <f>SUMIF($H$5:$H$45,H48,$J$5:$J$45)</f>
        <v>327270356.74000001</v>
      </c>
      <c r="K48" s="11"/>
      <c r="L48" s="11">
        <f>SUMIF($H$5:$H$45,H48,$L$5:$L$45)</f>
        <v>105316326.35805985</v>
      </c>
      <c r="M48" s="11">
        <f>SUMIF($H$5:$H$45,H48,$M$5:$M$45)</f>
        <v>56672762.564170167</v>
      </c>
      <c r="N48" s="11">
        <f>SUMIF($H$5:$H$45,H48,$N$5:$N$45)</f>
        <v>221954030.38194016</v>
      </c>
      <c r="O48" s="148"/>
      <c r="P48" s="318"/>
      <c r="Q48" s="8"/>
      <c r="R48" s="5"/>
    </row>
    <row r="49" spans="1:18" s="9" customFormat="1" ht="15" customHeight="1" x14ac:dyDescent="0.25">
      <c r="A49" s="585"/>
      <c r="B49" s="586"/>
      <c r="C49" s="587"/>
      <c r="D49" s="55"/>
      <c r="E49" s="55"/>
      <c r="F49" s="55"/>
      <c r="G49" s="55"/>
      <c r="H49" s="55" t="s">
        <v>71</v>
      </c>
      <c r="I49" s="56">
        <f>SUMIF($H$5:$H$45,H49,$I$5:$I$45)</f>
        <v>31777311969</v>
      </c>
      <c r="J49" s="56">
        <f>SUMIF($H$5:$H$45,H49,$J$5:$J$45)</f>
        <v>31859249643</v>
      </c>
      <c r="K49" s="56"/>
      <c r="L49" s="56">
        <f>SUMIF($H$5:$H$45,H49,$L$5:$L$45)</f>
        <v>12178517548.709158</v>
      </c>
      <c r="M49" s="56">
        <f>SUMIF($H$5:$H$45,H49,$M$5:$M$45)</f>
        <v>3571514171.4328051</v>
      </c>
      <c r="N49" s="56">
        <f>SUMIF($H$5:$H$45,H49,$N$5:$N$45)</f>
        <v>19680732094.29084</v>
      </c>
      <c r="O49" s="149"/>
      <c r="P49" s="319"/>
      <c r="Q49" s="8"/>
      <c r="R49" s="5"/>
    </row>
    <row r="50" spans="1:18" s="9" customFormat="1" ht="15" customHeight="1" thickBot="1" x14ac:dyDescent="0.3">
      <c r="A50" s="588"/>
      <c r="B50" s="589"/>
      <c r="C50" s="590"/>
      <c r="D50" s="57"/>
      <c r="E50" s="57"/>
      <c r="F50" s="302"/>
      <c r="G50" s="303"/>
      <c r="H50" s="304" t="s">
        <v>61</v>
      </c>
      <c r="I50" s="12">
        <f>SUMIF($H$5:$H$45,H50,$I$5:$I$45)</f>
        <v>24086688</v>
      </c>
      <c r="J50" s="12">
        <f>SUMIF($H$5:$H$45,H50,$J$5:$J$45)</f>
        <v>18384172.012149811</v>
      </c>
      <c r="K50" s="12"/>
      <c r="L50" s="12">
        <f>SUMIF($H$5:$H$45,H50,$L$5:$L$45)</f>
        <v>4356879.5040346272</v>
      </c>
      <c r="M50" s="12">
        <f>SUMIF($H$5:$H$45,H50,$M$5:$M$45)</f>
        <v>2915190.8613051148</v>
      </c>
      <c r="N50" s="12">
        <f>SUMIF($H$5:$H$45,H50,$N$5:$N$45)</f>
        <v>14027292.508115182</v>
      </c>
      <c r="O50" s="150"/>
      <c r="P50" s="320"/>
      <c r="Q50" s="8"/>
      <c r="R50" s="5"/>
    </row>
    <row r="51" spans="1:18" ht="96.75" customHeight="1" outlineLevel="1" x14ac:dyDescent="0.25">
      <c r="A51" s="261">
        <v>28</v>
      </c>
      <c r="B51" s="255" t="s">
        <v>116</v>
      </c>
      <c r="C51" s="256" t="s">
        <v>117</v>
      </c>
      <c r="D51" s="258" t="s">
        <v>118</v>
      </c>
      <c r="E51" s="258" t="s">
        <v>497</v>
      </c>
      <c r="F51" s="266" t="s">
        <v>324</v>
      </c>
      <c r="G51" s="266" t="s">
        <v>119</v>
      </c>
      <c r="H51" s="31" t="s">
        <v>29</v>
      </c>
      <c r="I51" s="268">
        <v>5000000</v>
      </c>
      <c r="J51" s="268">
        <v>5000000</v>
      </c>
      <c r="K51" s="281" t="s">
        <v>120</v>
      </c>
      <c r="L51" s="268">
        <f>4166666.69+208333.33+88124985.9/423+87866652.7/421.76</f>
        <v>4791666.6202181326</v>
      </c>
      <c r="M51" s="268">
        <f>553011.29+6019459.2/423+4555355.1/421.76</f>
        <v>578042.51297989383</v>
      </c>
      <c r="N51" s="268">
        <f t="shared" ref="N51:N56" si="2">J51-L51</f>
        <v>208333.37978186738</v>
      </c>
      <c r="O51" s="253" t="s">
        <v>76</v>
      </c>
      <c r="P51" s="292" t="s">
        <v>498</v>
      </c>
      <c r="R51" s="5"/>
    </row>
    <row r="52" spans="1:18" ht="86.25" customHeight="1" outlineLevel="1" x14ac:dyDescent="0.25">
      <c r="A52" s="260">
        <v>29</v>
      </c>
      <c r="B52" s="262" t="s">
        <v>121</v>
      </c>
      <c r="C52" s="251" t="s">
        <v>122</v>
      </c>
      <c r="D52" s="259" t="s">
        <v>118</v>
      </c>
      <c r="E52" s="259" t="s">
        <v>497</v>
      </c>
      <c r="F52" s="265" t="s">
        <v>325</v>
      </c>
      <c r="G52" s="265" t="s">
        <v>123</v>
      </c>
      <c r="H52" s="272" t="s">
        <v>29</v>
      </c>
      <c r="I52" s="294">
        <v>5000000</v>
      </c>
      <c r="J52" s="294">
        <v>5000000</v>
      </c>
      <c r="K52" s="264" t="s">
        <v>120</v>
      </c>
      <c r="L52" s="294">
        <f>3125000+208333.33+88124985.9/423+87866652.7/421.76</f>
        <v>3749999.9302181336</v>
      </c>
      <c r="M52" s="294">
        <f>320254.8+16091046.9/423+15943700.8/421.76</f>
        <v>396097.88072837633</v>
      </c>
      <c r="N52" s="294">
        <f t="shared" si="2"/>
        <v>1250000.0697818664</v>
      </c>
      <c r="O52" s="521" t="s">
        <v>76</v>
      </c>
      <c r="P52" s="291" t="s">
        <v>498</v>
      </c>
      <c r="R52" s="5"/>
    </row>
    <row r="53" spans="1:18" ht="84.75" customHeight="1" outlineLevel="1" x14ac:dyDescent="0.25">
      <c r="A53" s="260">
        <v>30</v>
      </c>
      <c r="B53" s="262" t="s">
        <v>121</v>
      </c>
      <c r="C53" s="251"/>
      <c r="D53" s="259" t="s">
        <v>463</v>
      </c>
      <c r="E53" s="259" t="s">
        <v>499</v>
      </c>
      <c r="F53" s="265"/>
      <c r="G53" s="265"/>
      <c r="H53" s="47" t="s">
        <v>2</v>
      </c>
      <c r="I53" s="294"/>
      <c r="J53" s="294">
        <v>66094595</v>
      </c>
      <c r="K53" s="264" t="s">
        <v>120</v>
      </c>
      <c r="L53" s="294">
        <f>6609471.44+6609433.4+6609473.7+6609459.5</f>
        <v>26437838.039999999</v>
      </c>
      <c r="M53" s="294">
        <f>1088882.59773529+1190830.4+1204391.2</f>
        <v>3484104.19773529</v>
      </c>
      <c r="N53" s="294">
        <f t="shared" si="2"/>
        <v>39656756.960000001</v>
      </c>
      <c r="O53" s="528"/>
      <c r="P53" s="292" t="s">
        <v>498</v>
      </c>
      <c r="R53" s="5"/>
    </row>
    <row r="54" spans="1:18" ht="89.25" customHeight="1" outlineLevel="1" x14ac:dyDescent="0.25">
      <c r="A54" s="270">
        <v>31</v>
      </c>
      <c r="B54" s="277" t="s">
        <v>124</v>
      </c>
      <c r="C54" s="271" t="s">
        <v>125</v>
      </c>
      <c r="D54" s="276" t="s">
        <v>126</v>
      </c>
      <c r="E54" s="276" t="s">
        <v>497</v>
      </c>
      <c r="F54" s="275" t="s">
        <v>326</v>
      </c>
      <c r="G54" s="275" t="s">
        <v>127</v>
      </c>
      <c r="H54" s="272" t="s">
        <v>29</v>
      </c>
      <c r="I54" s="294">
        <v>5000000</v>
      </c>
      <c r="J54" s="294">
        <v>5000000</v>
      </c>
      <c r="K54" s="293" t="s">
        <v>120</v>
      </c>
      <c r="L54" s="294">
        <f>3227272.74+97124988.4/427.35+96136352.1/423+95854533.9/421.76</f>
        <v>3909090.8400054076</v>
      </c>
      <c r="M54" s="294">
        <f>475298.336411511+13707853.3/421.76</f>
        <v>507799.88539671584</v>
      </c>
      <c r="N54" s="294">
        <f t="shared" si="2"/>
        <v>1090909.1599945924</v>
      </c>
      <c r="O54" s="140" t="s">
        <v>76</v>
      </c>
      <c r="P54" s="204" t="s">
        <v>498</v>
      </c>
      <c r="R54" s="5"/>
    </row>
    <row r="55" spans="1:18" ht="57" customHeight="1" outlineLevel="1" x14ac:dyDescent="0.25">
      <c r="A55" s="532">
        <v>32</v>
      </c>
      <c r="B55" s="262" t="s">
        <v>128</v>
      </c>
      <c r="C55" s="521" t="s">
        <v>129</v>
      </c>
      <c r="D55" s="259" t="s">
        <v>126</v>
      </c>
      <c r="E55" s="259" t="s">
        <v>497</v>
      </c>
      <c r="F55" s="265" t="s">
        <v>327</v>
      </c>
      <c r="G55" s="265" t="s">
        <v>130</v>
      </c>
      <c r="H55" s="47" t="s">
        <v>29</v>
      </c>
      <c r="I55" s="267">
        <v>5000000</v>
      </c>
      <c r="J55" s="294">
        <v>3000000</v>
      </c>
      <c r="K55" s="45" t="s">
        <v>279</v>
      </c>
      <c r="L55" s="294">
        <f>676724.137931034+46797420.6/423+46660236.7/421.76</f>
        <v>897988.53799742239</v>
      </c>
      <c r="M55" s="294">
        <f>222742.9+6254858.7/423+5914494.4/421.76</f>
        <v>251553.16494688921</v>
      </c>
      <c r="N55" s="267">
        <f t="shared" si="2"/>
        <v>2102011.4620025777</v>
      </c>
      <c r="O55" s="521" t="s">
        <v>76</v>
      </c>
      <c r="P55" s="291" t="s">
        <v>498</v>
      </c>
      <c r="R55" s="5"/>
    </row>
    <row r="56" spans="1:18" ht="57" customHeight="1" outlineLevel="1" thickBot="1" x14ac:dyDescent="0.3">
      <c r="A56" s="536"/>
      <c r="B56" s="262" t="s">
        <v>128</v>
      </c>
      <c r="C56" s="538"/>
      <c r="D56" s="259" t="s">
        <v>463</v>
      </c>
      <c r="E56" s="259" t="s">
        <v>499</v>
      </c>
      <c r="F56" s="265" t="s">
        <v>327</v>
      </c>
      <c r="G56" s="265" t="s">
        <v>266</v>
      </c>
      <c r="H56" s="47" t="s">
        <v>2</v>
      </c>
      <c r="I56" s="267"/>
      <c r="J56" s="294">
        <v>100836059.51000001</v>
      </c>
      <c r="K56" s="45">
        <v>1.404E-2</v>
      </c>
      <c r="L56" s="294">
        <f>9751561.92837819+3148517+4073473.9</f>
        <v>16973552.828378189</v>
      </c>
      <c r="M56" s="294">
        <f>1328413.8+491137.6+435674.1</f>
        <v>2255225.5</v>
      </c>
      <c r="N56" s="267">
        <f t="shared" si="2"/>
        <v>83862506.68162182</v>
      </c>
      <c r="O56" s="538"/>
      <c r="P56" s="328" t="s">
        <v>498</v>
      </c>
      <c r="R56" s="5"/>
    </row>
    <row r="57" spans="1:18" s="9" customFormat="1" ht="15" customHeight="1" x14ac:dyDescent="0.25">
      <c r="A57" s="591" t="s">
        <v>131</v>
      </c>
      <c r="B57" s="592"/>
      <c r="C57" s="593"/>
      <c r="D57" s="305"/>
      <c r="E57" s="53"/>
      <c r="F57" s="53"/>
      <c r="G57" s="53"/>
      <c r="H57" s="53" t="s">
        <v>29</v>
      </c>
      <c r="I57" s="10">
        <f>SUMIF($H$51:$H$56,H57,$I$51:$I$56)</f>
        <v>20000000</v>
      </c>
      <c r="J57" s="10">
        <f>SUMIF($H$51:$H$56,H57,$J$51:$J$56)</f>
        <v>18000000</v>
      </c>
      <c r="K57" s="13"/>
      <c r="L57" s="10">
        <f>SUMIF($H$51:$H$56,H57,$L$51:$L$56)</f>
        <v>13348745.928439096</v>
      </c>
      <c r="M57" s="10">
        <f>SUMIF($H$51:$H$56,H57,$M$51:$M$56)</f>
        <v>1733493.4440518753</v>
      </c>
      <c r="N57" s="10">
        <f>SUMIF($H$51:$H$56,H57,$N$51:$N$56)</f>
        <v>4651254.0715609044</v>
      </c>
      <c r="O57" s="147"/>
      <c r="P57" s="325"/>
      <c r="Q57" s="8"/>
      <c r="R57" s="5"/>
    </row>
    <row r="58" spans="1:18" s="9" customFormat="1" ht="15" customHeight="1" x14ac:dyDescent="0.25">
      <c r="A58" s="585"/>
      <c r="B58" s="586"/>
      <c r="C58" s="587"/>
      <c r="D58" s="41"/>
      <c r="E58" s="54"/>
      <c r="F58" s="54"/>
      <c r="G58" s="54"/>
      <c r="H58" s="54" t="s">
        <v>2</v>
      </c>
      <c r="I58" s="11">
        <f>SUMIF($H$51:$H$56,H58,$I$51:$I$56)</f>
        <v>0</v>
      </c>
      <c r="J58" s="11">
        <f>SUMIF($H$51:$H$56,H58,$J$51:$J$56)</f>
        <v>166930654.50999999</v>
      </c>
      <c r="K58" s="11"/>
      <c r="L58" s="11">
        <f>SUMIF($H$51:$H$56,H58,$L$51:$L$56)</f>
        <v>43411390.868378192</v>
      </c>
      <c r="M58" s="11">
        <f>SUMIF($H$51:$H$56,H58,$M$51:$M$56)</f>
        <v>5739329.69773529</v>
      </c>
      <c r="N58" s="11">
        <f>SUMIF($H$51:$H$56,H58,$N$51:$N$56)</f>
        <v>123519263.64162183</v>
      </c>
      <c r="O58" s="148"/>
      <c r="P58" s="318"/>
      <c r="Q58" s="8"/>
      <c r="R58" s="5"/>
    </row>
    <row r="59" spans="1:18" s="9" customFormat="1" ht="15" customHeight="1" x14ac:dyDescent="0.25">
      <c r="A59" s="585"/>
      <c r="B59" s="586"/>
      <c r="C59" s="587"/>
      <c r="D59" s="41"/>
      <c r="E59" s="54"/>
      <c r="F59" s="54"/>
      <c r="G59" s="54"/>
      <c r="H59" s="54" t="s">
        <v>51</v>
      </c>
      <c r="I59" s="11">
        <f>SUMIF($H$51:$H$56,H59,$I$51:$I$56)</f>
        <v>0</v>
      </c>
      <c r="J59" s="11">
        <f>SUMIF($H$51:$H$56,H59,$J$51:$J$56)</f>
        <v>0</v>
      </c>
      <c r="K59" s="11"/>
      <c r="L59" s="11">
        <f>SUMIF($H$51:$H$56,H59,$L$51:$L$56)</f>
        <v>0</v>
      </c>
      <c r="M59" s="11">
        <f>SUMIF($H$51:$H$56,H59,$M$51:$M$56)</f>
        <v>0</v>
      </c>
      <c r="N59" s="11">
        <f>SUMIF($H$51:$H$56,H59,$N$51:$N$56)</f>
        <v>0</v>
      </c>
      <c r="O59" s="148"/>
      <c r="P59" s="318"/>
      <c r="Q59" s="8"/>
      <c r="R59" s="5"/>
    </row>
    <row r="60" spans="1:18" s="9" customFormat="1" ht="15" customHeight="1" thickBot="1" x14ac:dyDescent="0.3">
      <c r="A60" s="588"/>
      <c r="B60" s="589"/>
      <c r="C60" s="590"/>
      <c r="D60" s="306"/>
      <c r="E60" s="57"/>
      <c r="F60" s="57"/>
      <c r="G60" s="57"/>
      <c r="H60" s="57" t="s">
        <v>71</v>
      </c>
      <c r="I60" s="12">
        <f>SUMIF($H$51:$H$56,H60,$I$51:$I$56)</f>
        <v>0</v>
      </c>
      <c r="J60" s="12">
        <f>SUMIF($H$51:$H$56,H60,$J$51:$J$56)</f>
        <v>0</v>
      </c>
      <c r="K60" s="12"/>
      <c r="L60" s="12">
        <f>SUMIF($H$51:$H$56,H60,$L$51:$L$56)</f>
        <v>0</v>
      </c>
      <c r="M60" s="12">
        <f>SUMIF($H$51:$H$56,H60,$M$51:$M$56)</f>
        <v>0</v>
      </c>
      <c r="N60" s="12">
        <f>SUMIF($H$51:$H$56,H60,$N$51:$N$56)</f>
        <v>0</v>
      </c>
      <c r="O60" s="150"/>
      <c r="P60" s="320"/>
      <c r="Q60" s="8"/>
      <c r="R60" s="5"/>
    </row>
    <row r="61" spans="1:18" s="2" customFormat="1" ht="91.5" customHeight="1" outlineLevel="1" x14ac:dyDescent="0.25">
      <c r="A61" s="270">
        <v>33</v>
      </c>
      <c r="B61" s="271" t="s">
        <v>132</v>
      </c>
      <c r="C61" s="271" t="s">
        <v>133</v>
      </c>
      <c r="D61" s="256" t="s">
        <v>473</v>
      </c>
      <c r="E61" s="276" t="s">
        <v>441</v>
      </c>
      <c r="F61" s="58" t="s">
        <v>328</v>
      </c>
      <c r="G61" s="271" t="s">
        <v>134</v>
      </c>
      <c r="H61" s="271" t="s">
        <v>2</v>
      </c>
      <c r="I61" s="294">
        <v>74000000000</v>
      </c>
      <c r="J61" s="294">
        <v>74000000000</v>
      </c>
      <c r="K61" s="293" t="s">
        <v>135</v>
      </c>
      <c r="L61" s="294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M61" s="294">
        <f>27971909177.5+338144.2+498915.4+526901.3+642474.8+795979.5</f>
        <v>27974711592.700001</v>
      </c>
      <c r="N61" s="273">
        <f>J61-L61</f>
        <v>8809523809.2999802</v>
      </c>
      <c r="O61" s="140" t="s">
        <v>76</v>
      </c>
      <c r="P61" s="204" t="s">
        <v>498</v>
      </c>
      <c r="Q61" s="1"/>
      <c r="R61" s="5"/>
    </row>
    <row r="62" spans="1:18" s="2" customFormat="1" ht="91.5" customHeight="1" outlineLevel="1" x14ac:dyDescent="0.25">
      <c r="A62" s="270">
        <v>34</v>
      </c>
      <c r="B62" s="271" t="s">
        <v>132</v>
      </c>
      <c r="C62" s="271" t="s">
        <v>136</v>
      </c>
      <c r="D62" s="271" t="s">
        <v>27</v>
      </c>
      <c r="E62" s="276" t="s">
        <v>441</v>
      </c>
      <c r="F62" s="58" t="s">
        <v>329</v>
      </c>
      <c r="G62" s="271" t="s">
        <v>137</v>
      </c>
      <c r="H62" s="271" t="s">
        <v>2</v>
      </c>
      <c r="I62" s="294">
        <v>2035890300</v>
      </c>
      <c r="J62" s="294">
        <v>2035890300</v>
      </c>
      <c r="K62" s="293" t="s">
        <v>44</v>
      </c>
      <c r="L62" s="294">
        <v>0</v>
      </c>
      <c r="M62" s="294">
        <v>0</v>
      </c>
      <c r="N62" s="273">
        <f t="shared" ref="N62:N67" si="3">J62-L62</f>
        <v>2035890300</v>
      </c>
      <c r="O62" s="140" t="s">
        <v>76</v>
      </c>
      <c r="P62" s="204" t="s">
        <v>498</v>
      </c>
      <c r="Q62" s="1"/>
      <c r="R62" s="5"/>
    </row>
    <row r="63" spans="1:18" ht="67.5" outlineLevel="1" x14ac:dyDescent="0.25">
      <c r="A63" s="261">
        <v>35</v>
      </c>
      <c r="B63" s="277" t="s">
        <v>138</v>
      </c>
      <c r="C63" s="271" t="s">
        <v>139</v>
      </c>
      <c r="D63" s="276" t="s">
        <v>27</v>
      </c>
      <c r="E63" s="276"/>
      <c r="F63" s="275" t="s">
        <v>330</v>
      </c>
      <c r="G63" s="276" t="s">
        <v>140</v>
      </c>
      <c r="H63" s="272" t="s">
        <v>29</v>
      </c>
      <c r="I63" s="294">
        <v>3500000</v>
      </c>
      <c r="J63" s="294">
        <v>3500000</v>
      </c>
      <c r="K63" s="293">
        <v>7.4999999999999997E-3</v>
      </c>
      <c r="L63" s="294">
        <f>696000+31440060/542.07+58000+24255020/418.19+24400600/420.7+25920780/446.91</f>
        <v>986000</v>
      </c>
      <c r="M63" s="294">
        <f>399592.922231146+10515+10297.5+4215355.2/418.19+4149153.8/420.7+4310447/446.91</f>
        <v>449992.92246187496</v>
      </c>
      <c r="N63" s="273">
        <f t="shared" si="3"/>
        <v>2514000</v>
      </c>
      <c r="O63" s="140" t="s">
        <v>76</v>
      </c>
      <c r="P63" s="204"/>
      <c r="R63" s="5"/>
    </row>
    <row r="64" spans="1:18" ht="128.25" customHeight="1" outlineLevel="1" x14ac:dyDescent="0.25">
      <c r="A64" s="270">
        <v>36</v>
      </c>
      <c r="B64" s="277" t="s">
        <v>141</v>
      </c>
      <c r="C64" s="271" t="s">
        <v>142</v>
      </c>
      <c r="D64" s="271" t="s">
        <v>143</v>
      </c>
      <c r="E64" s="276" t="s">
        <v>441</v>
      </c>
      <c r="F64" s="278" t="s">
        <v>331</v>
      </c>
      <c r="G64" s="276" t="s">
        <v>144</v>
      </c>
      <c r="H64" s="272" t="s">
        <v>51</v>
      </c>
      <c r="I64" s="273">
        <v>1689937.9</v>
      </c>
      <c r="J64" s="294">
        <v>1689937.9</v>
      </c>
      <c r="K64" s="274">
        <v>5.9900000000000002E-2</v>
      </c>
      <c r="L64" s="294">
        <f>872805.23+28165+28165</f>
        <v>929135.23</v>
      </c>
      <c r="M64" s="294">
        <f>1964862.47+25588.58+24871.58</f>
        <v>2015322.6300000001</v>
      </c>
      <c r="N64" s="273">
        <f t="shared" si="3"/>
        <v>760802.66999999993</v>
      </c>
      <c r="O64" s="142" t="s">
        <v>76</v>
      </c>
      <c r="P64" s="321" t="s">
        <v>498</v>
      </c>
      <c r="R64" s="5"/>
    </row>
    <row r="65" spans="1:18" ht="98.25" customHeight="1" outlineLevel="1" x14ac:dyDescent="0.25">
      <c r="A65" s="261">
        <v>37</v>
      </c>
      <c r="B65" s="277" t="s">
        <v>145</v>
      </c>
      <c r="C65" s="271" t="s">
        <v>146</v>
      </c>
      <c r="D65" s="271" t="s">
        <v>143</v>
      </c>
      <c r="E65" s="276" t="s">
        <v>441</v>
      </c>
      <c r="F65" s="278" t="s">
        <v>332</v>
      </c>
      <c r="G65" s="276" t="s">
        <v>147</v>
      </c>
      <c r="H65" s="272" t="s">
        <v>51</v>
      </c>
      <c r="I65" s="273">
        <v>2828000</v>
      </c>
      <c r="J65" s="294">
        <v>2828000</v>
      </c>
      <c r="K65" s="274">
        <v>5.9900000000000002E-2</v>
      </c>
      <c r="L65" s="273">
        <f>1128831.5+47000+47000</f>
        <v>1222831.5</v>
      </c>
      <c r="M65" s="294">
        <f>1731608.85+50775.51+49371.71</f>
        <v>1831756.07</v>
      </c>
      <c r="N65" s="273">
        <f t="shared" si="3"/>
        <v>1605168.5</v>
      </c>
      <c r="O65" s="142" t="s">
        <v>76</v>
      </c>
      <c r="P65" s="321" t="s">
        <v>498</v>
      </c>
      <c r="R65" s="5"/>
    </row>
    <row r="66" spans="1:18" s="4" customFormat="1" ht="140.25" customHeight="1" outlineLevel="1" x14ac:dyDescent="0.25">
      <c r="A66" s="270">
        <v>38</v>
      </c>
      <c r="B66" s="277" t="s">
        <v>148</v>
      </c>
      <c r="C66" s="271" t="s">
        <v>149</v>
      </c>
      <c r="D66" s="271" t="s">
        <v>143</v>
      </c>
      <c r="E66" s="276" t="s">
        <v>441</v>
      </c>
      <c r="F66" s="276" t="s">
        <v>333</v>
      </c>
      <c r="G66" s="276" t="s">
        <v>150</v>
      </c>
      <c r="H66" s="271" t="s">
        <v>2</v>
      </c>
      <c r="I66" s="60">
        <v>2092000000</v>
      </c>
      <c r="J66" s="294">
        <v>2092000000</v>
      </c>
      <c r="K66" s="61">
        <v>0.02</v>
      </c>
      <c r="L66" s="294">
        <f>354576270+35457627.1+35457627+35457627</f>
        <v>460949151.10000002</v>
      </c>
      <c r="M66" s="294">
        <f>426427783.87+17517039.3+16879773.4+16802058.1</f>
        <v>477626654.67000002</v>
      </c>
      <c r="N66" s="273">
        <f t="shared" si="3"/>
        <v>1631050848.9000001</v>
      </c>
      <c r="O66" s="142" t="s">
        <v>76</v>
      </c>
      <c r="P66" s="321" t="s">
        <v>498</v>
      </c>
      <c r="Q66" s="3"/>
      <c r="R66" s="5"/>
    </row>
    <row r="67" spans="1:18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74" t="s">
        <v>441</v>
      </c>
      <c r="F67" s="74" t="s">
        <v>334</v>
      </c>
      <c r="G67" s="74" t="s">
        <v>152</v>
      </c>
      <c r="H67" s="74" t="s">
        <v>2</v>
      </c>
      <c r="I67" s="307">
        <v>2187306400</v>
      </c>
      <c r="J67" s="307">
        <v>2187306400</v>
      </c>
      <c r="K67" s="308">
        <v>0.03</v>
      </c>
      <c r="L67" s="75">
        <v>0</v>
      </c>
      <c r="M67" s="75">
        <f>224789707.9+33079263.9+32539928.1+33079263.9</f>
        <v>323488163.80000001</v>
      </c>
      <c r="N67" s="78">
        <f t="shared" si="3"/>
        <v>2187306400</v>
      </c>
      <c r="O67" s="195" t="s">
        <v>76</v>
      </c>
      <c r="P67" s="324" t="s">
        <v>498</v>
      </c>
      <c r="Q67" s="3"/>
      <c r="R67" s="5"/>
    </row>
    <row r="68" spans="1:18" s="9" customFormat="1" ht="15" customHeight="1" x14ac:dyDescent="0.25">
      <c r="A68" s="585" t="s">
        <v>153</v>
      </c>
      <c r="B68" s="586"/>
      <c r="C68" s="587"/>
      <c r="D68" s="309"/>
      <c r="E68" s="80"/>
      <c r="F68" s="80"/>
      <c r="G68" s="80"/>
      <c r="H68" s="80" t="s">
        <v>29</v>
      </c>
      <c r="I68" s="14">
        <f>SUMIF($H$61:$H$67,H68,$I$61:$I$67)</f>
        <v>3500000</v>
      </c>
      <c r="J68" s="14">
        <f>SUMIF($H$61:$H$67,H68,$J$61:$J$67)</f>
        <v>3500000</v>
      </c>
      <c r="K68" s="14"/>
      <c r="L68" s="14">
        <f>SUMIF($H$61:$H$67,H68,$L$61:$L$67)</f>
        <v>986000</v>
      </c>
      <c r="M68" s="14">
        <f>SUMIF($H$61:$H$67,H68,$M$61:$M$67)</f>
        <v>449992.92246187496</v>
      </c>
      <c r="N68" s="14">
        <f>SUMIF($H$61:$H$67,H68,$N$61:$N$67)</f>
        <v>2514000</v>
      </c>
      <c r="O68" s="152"/>
      <c r="P68" s="325"/>
      <c r="Q68" s="8"/>
      <c r="R68" s="5"/>
    </row>
    <row r="69" spans="1:18" s="9" customFormat="1" ht="15" customHeight="1" x14ac:dyDescent="0.25">
      <c r="A69" s="585"/>
      <c r="B69" s="586"/>
      <c r="C69" s="587"/>
      <c r="D69" s="41"/>
      <c r="E69" s="54"/>
      <c r="F69" s="54"/>
      <c r="G69" s="54"/>
      <c r="H69" s="54" t="s">
        <v>2</v>
      </c>
      <c r="I69" s="11">
        <f>SUMIF($H$61:$H$67,H69,$I$61:$I$67)</f>
        <v>80315196700</v>
      </c>
      <c r="J69" s="11">
        <f>SUMIF($H$61:$H$67,H69,$J$61:$J$67)</f>
        <v>80315196700</v>
      </c>
      <c r="K69" s="11"/>
      <c r="L69" s="11">
        <f>SUMIF($H$61:$H$67,H69,$L$61:$L$67)</f>
        <v>65651425341.800018</v>
      </c>
      <c r="M69" s="11">
        <f>SUMIF($H$61:$H$67,H69,$M$61:$M$67)</f>
        <v>28775826411.169998</v>
      </c>
      <c r="N69" s="11">
        <f>SUMIF($H$61:$H$67,H69,$N$61:$N$67)</f>
        <v>14663771358.19998</v>
      </c>
      <c r="O69" s="148"/>
      <c r="P69" s="318"/>
      <c r="Q69" s="8"/>
      <c r="R69" s="5"/>
    </row>
    <row r="70" spans="1:18" s="9" customFormat="1" ht="15" customHeight="1" x14ac:dyDescent="0.25">
      <c r="A70" s="585"/>
      <c r="B70" s="586"/>
      <c r="C70" s="587"/>
      <c r="D70" s="41"/>
      <c r="E70" s="54"/>
      <c r="F70" s="54"/>
      <c r="G70" s="54"/>
      <c r="H70" s="54" t="s">
        <v>51</v>
      </c>
      <c r="I70" s="11">
        <f>SUMIF($H$61:$H$67,H70,$I$61:$I$67)</f>
        <v>4517937.9000000004</v>
      </c>
      <c r="J70" s="11">
        <f>SUMIF($H$61:$H$67,H70,$J$61:$J$67)</f>
        <v>4517937.9000000004</v>
      </c>
      <c r="K70" s="11"/>
      <c r="L70" s="11">
        <f>SUMIF($H$61:$H$67,H70,$L$61:$L$67)</f>
        <v>2151966.73</v>
      </c>
      <c r="M70" s="11">
        <f>SUMIF($H$61:$H$67,H70,$M$61:$M$67)</f>
        <v>3847078.7</v>
      </c>
      <c r="N70" s="11">
        <f>SUMIF($H$61:$H$67,H70,$N$61:$N$67)</f>
        <v>2365971.17</v>
      </c>
      <c r="O70" s="148"/>
      <c r="P70" s="318"/>
      <c r="Q70" s="8"/>
      <c r="R70" s="5"/>
    </row>
    <row r="71" spans="1:18" s="9" customFormat="1" ht="15" customHeight="1" thickBot="1" x14ac:dyDescent="0.3">
      <c r="A71" s="588"/>
      <c r="B71" s="589"/>
      <c r="C71" s="590"/>
      <c r="D71" s="306"/>
      <c r="E71" s="57"/>
      <c r="F71" s="57"/>
      <c r="G71" s="57"/>
      <c r="H71" s="57" t="s">
        <v>71</v>
      </c>
      <c r="I71" s="12">
        <f>SUMIF($H$61:$H$67,H71,$I$61:$I$67)</f>
        <v>0</v>
      </c>
      <c r="J71" s="12">
        <f>SUMIF($H$61:$H$67,H71,$J$61:$J$67)</f>
        <v>0</v>
      </c>
      <c r="K71" s="12"/>
      <c r="L71" s="12">
        <f>SUMIF($H$61:$H$67,H71,$L$61:$L$67)</f>
        <v>0</v>
      </c>
      <c r="M71" s="12">
        <f>SUMIF($H$61:$H$67,H71,$M$61:$M$67)</f>
        <v>0</v>
      </c>
      <c r="N71" s="12">
        <f>SUMIF($H$61:$H$67,H71,$N$61:$N$67)</f>
        <v>0</v>
      </c>
      <c r="O71" s="150"/>
      <c r="P71" s="320"/>
      <c r="Q71" s="8"/>
      <c r="R71" s="5"/>
    </row>
    <row r="72" spans="1:18" s="2" customFormat="1" ht="77.25" customHeight="1" outlineLevel="1" x14ac:dyDescent="0.25">
      <c r="A72" s="270">
        <v>40</v>
      </c>
      <c r="B72" s="277" t="s">
        <v>154</v>
      </c>
      <c r="C72" s="271" t="s">
        <v>155</v>
      </c>
      <c r="D72" s="256" t="s">
        <v>93</v>
      </c>
      <c r="E72" s="258" t="s">
        <v>500</v>
      </c>
      <c r="F72" s="256" t="s">
        <v>335</v>
      </c>
      <c r="G72" s="271" t="s">
        <v>156</v>
      </c>
      <c r="H72" s="272" t="s">
        <v>51</v>
      </c>
      <c r="I72" s="294">
        <v>361332</v>
      </c>
      <c r="J72" s="294">
        <v>361332</v>
      </c>
      <c r="K72" s="293">
        <v>7.7700000000000005E-2</v>
      </c>
      <c r="L72" s="294">
        <f>219031+1000000/388.24</f>
        <v>221606.72635483206</v>
      </c>
      <c r="M72" s="294">
        <f>187530</f>
        <v>187530</v>
      </c>
      <c r="N72" s="273">
        <f>J72-L72</f>
        <v>139725.27364516794</v>
      </c>
      <c r="O72" s="140" t="s">
        <v>157</v>
      </c>
      <c r="P72" s="292"/>
      <c r="Q72" s="1"/>
      <c r="R72" s="5"/>
    </row>
    <row r="73" spans="1:18" ht="64.5" customHeight="1" outlineLevel="1" x14ac:dyDescent="0.25">
      <c r="A73" s="270">
        <v>41</v>
      </c>
      <c r="B73" s="277" t="s">
        <v>158</v>
      </c>
      <c r="C73" s="271" t="s">
        <v>159</v>
      </c>
      <c r="D73" s="259" t="s">
        <v>118</v>
      </c>
      <c r="E73" s="259" t="s">
        <v>497</v>
      </c>
      <c r="F73" s="275" t="s">
        <v>336</v>
      </c>
      <c r="G73" s="294" t="s">
        <v>160</v>
      </c>
      <c r="H73" s="272" t="s">
        <v>29</v>
      </c>
      <c r="I73" s="294">
        <v>8000000</v>
      </c>
      <c r="J73" s="294">
        <v>80000</v>
      </c>
      <c r="K73" s="293" t="s">
        <v>44</v>
      </c>
      <c r="L73" s="294">
        <f>10909.09+3636.36+3636.36+1428217/392.76+1554016/427.35+3636.4+3632.85</f>
        <v>32723.821703756206</v>
      </c>
      <c r="M73" s="294">
        <f>105386.95+361.72+42360.02+4761284/392.76+5116448/427.35+12019.8+11989.6</f>
        <v>196213.21988818215</v>
      </c>
      <c r="N73" s="273">
        <f>J73-L73</f>
        <v>47276.178296243794</v>
      </c>
      <c r="O73" s="140" t="s">
        <v>161</v>
      </c>
      <c r="P73" s="204" t="s">
        <v>498</v>
      </c>
      <c r="R73" s="5"/>
    </row>
    <row r="74" spans="1:18" ht="63" customHeight="1" outlineLevel="1" x14ac:dyDescent="0.25">
      <c r="A74" s="270">
        <v>42</v>
      </c>
      <c r="B74" s="277" t="s">
        <v>158</v>
      </c>
      <c r="C74" s="271" t="s">
        <v>162</v>
      </c>
      <c r="D74" s="259" t="s">
        <v>126</v>
      </c>
      <c r="E74" s="259" t="s">
        <v>497</v>
      </c>
      <c r="F74" s="275" t="s">
        <v>337</v>
      </c>
      <c r="G74" s="294" t="s">
        <v>160</v>
      </c>
      <c r="H74" s="272" t="s">
        <v>29</v>
      </c>
      <c r="I74" s="294">
        <v>8000000</v>
      </c>
      <c r="J74" s="294"/>
      <c r="K74" s="293" t="s">
        <v>44</v>
      </c>
      <c r="L74" s="294"/>
      <c r="M74" s="294"/>
      <c r="N74" s="273">
        <f>J74-L74</f>
        <v>0</v>
      </c>
      <c r="O74" s="140" t="s">
        <v>161</v>
      </c>
      <c r="P74" s="204" t="s">
        <v>498</v>
      </c>
      <c r="R74" s="5"/>
    </row>
    <row r="75" spans="1:18" ht="71.25" customHeight="1" outlineLevel="1" x14ac:dyDescent="0.25">
      <c r="A75" s="532">
        <v>43</v>
      </c>
      <c r="B75" s="534" t="s">
        <v>163</v>
      </c>
      <c r="C75" s="521" t="s">
        <v>264</v>
      </c>
      <c r="D75" s="259" t="s">
        <v>118</v>
      </c>
      <c r="E75" s="259" t="s">
        <v>497</v>
      </c>
      <c r="F75" s="275" t="s">
        <v>338</v>
      </c>
      <c r="G75" s="521" t="s">
        <v>281</v>
      </c>
      <c r="H75" s="272" t="s">
        <v>29</v>
      </c>
      <c r="I75" s="294">
        <v>5500000</v>
      </c>
      <c r="J75" s="294">
        <f>1384955.78+492272.39+301757.1+219245.55+25340.75</f>
        <v>2423571.5699999998</v>
      </c>
      <c r="K75" s="293" t="s">
        <v>44</v>
      </c>
      <c r="L75" s="294"/>
      <c r="M75" s="294"/>
      <c r="N75" s="273">
        <f t="shared" ref="N75:N96" si="4">J75-L75</f>
        <v>2423571.5699999998</v>
      </c>
      <c r="O75" s="140" t="s">
        <v>76</v>
      </c>
      <c r="P75" s="204" t="s">
        <v>501</v>
      </c>
      <c r="R75" s="5"/>
    </row>
    <row r="76" spans="1:18" ht="74.25" customHeight="1" outlineLevel="1" x14ac:dyDescent="0.25">
      <c r="A76" s="533"/>
      <c r="B76" s="527"/>
      <c r="C76" s="528"/>
      <c r="D76" s="259" t="s">
        <v>463</v>
      </c>
      <c r="E76" s="259" t="s">
        <v>499</v>
      </c>
      <c r="F76" s="275"/>
      <c r="G76" s="528"/>
      <c r="H76" s="276" t="s">
        <v>2</v>
      </c>
      <c r="I76" s="294">
        <v>92733053.200000003</v>
      </c>
      <c r="J76" s="294">
        <f>92733053.2+20276600+1679251+16492341.9+20399976.4+42969092+26833268.5</f>
        <v>221383583</v>
      </c>
      <c r="K76" s="293"/>
      <c r="L76" s="294"/>
      <c r="M76" s="294"/>
      <c r="N76" s="273">
        <f t="shared" si="4"/>
        <v>221383583</v>
      </c>
      <c r="O76" s="140"/>
      <c r="P76" s="204" t="s">
        <v>501</v>
      </c>
      <c r="R76" s="5"/>
    </row>
    <row r="77" spans="1:18" ht="80.25" customHeight="1" outlineLevel="1" x14ac:dyDescent="0.25">
      <c r="A77" s="270">
        <v>44</v>
      </c>
      <c r="B77" s="277" t="s">
        <v>164</v>
      </c>
      <c r="C77" s="271" t="s">
        <v>165</v>
      </c>
      <c r="D77" s="271" t="s">
        <v>463</v>
      </c>
      <c r="E77" s="276"/>
      <c r="F77" s="275" t="s">
        <v>339</v>
      </c>
      <c r="G77" s="294" t="s">
        <v>166</v>
      </c>
      <c r="H77" s="276" t="s">
        <v>2</v>
      </c>
      <c r="I77" s="294">
        <v>249300000</v>
      </c>
      <c r="J77" s="294">
        <v>249300000</v>
      </c>
      <c r="K77" s="295">
        <v>1E-3</v>
      </c>
      <c r="L77" s="294">
        <f>42881892.9</f>
        <v>42881892.899999999</v>
      </c>
      <c r="M77" s="294">
        <f>528153.5</f>
        <v>528153.5</v>
      </c>
      <c r="N77" s="273">
        <f t="shared" si="4"/>
        <v>206418107.09999999</v>
      </c>
      <c r="O77" s="140" t="s">
        <v>76</v>
      </c>
      <c r="P77" s="204"/>
      <c r="R77" s="5"/>
    </row>
    <row r="78" spans="1:18" ht="148.5" outlineLevel="1" x14ac:dyDescent="0.25">
      <c r="A78" s="270">
        <v>45</v>
      </c>
      <c r="B78" s="262" t="s">
        <v>107</v>
      </c>
      <c r="C78" s="251" t="s">
        <v>108</v>
      </c>
      <c r="D78" s="259" t="s">
        <v>101</v>
      </c>
      <c r="E78" s="259"/>
      <c r="F78" s="265" t="s">
        <v>340</v>
      </c>
      <c r="G78" s="267" t="s">
        <v>109</v>
      </c>
      <c r="H78" s="272" t="s">
        <v>51</v>
      </c>
      <c r="I78" s="294">
        <v>4000000</v>
      </c>
      <c r="J78" s="294">
        <v>869162.07</v>
      </c>
      <c r="K78" s="293" t="s">
        <v>44</v>
      </c>
      <c r="L78" s="294">
        <f>465353.9+34986668/397.71+41212635/391.46</f>
        <v>658603.5005344206</v>
      </c>
      <c r="M78" s="294">
        <f>188098.2+7483550/397.71+8032446/391.46</f>
        <v>227433.99995345628</v>
      </c>
      <c r="N78" s="282">
        <f>J78-L78</f>
        <v>210558.56946557935</v>
      </c>
      <c r="O78" s="251" t="s">
        <v>110</v>
      </c>
      <c r="P78" s="291" t="s">
        <v>498</v>
      </c>
      <c r="R78" s="5"/>
    </row>
    <row r="79" spans="1:18" s="4" customFormat="1" ht="40.5" outlineLevel="1" x14ac:dyDescent="0.25">
      <c r="A79" s="270">
        <v>46</v>
      </c>
      <c r="B79" s="277" t="s">
        <v>167</v>
      </c>
      <c r="C79" s="271" t="s">
        <v>133</v>
      </c>
      <c r="D79" s="276" t="s">
        <v>473</v>
      </c>
      <c r="E79" s="276" t="s">
        <v>441</v>
      </c>
      <c r="F79" s="276" t="s">
        <v>341</v>
      </c>
      <c r="G79" s="276" t="s">
        <v>291</v>
      </c>
      <c r="H79" s="276" t="s">
        <v>2</v>
      </c>
      <c r="I79" s="60">
        <v>50600000</v>
      </c>
      <c r="J79" s="294">
        <v>50600000</v>
      </c>
      <c r="K79" s="277" t="s">
        <v>168</v>
      </c>
      <c r="L79" s="294"/>
      <c r="M79" s="294"/>
      <c r="N79" s="60">
        <f t="shared" si="4"/>
        <v>50600000</v>
      </c>
      <c r="O79" s="140" t="s">
        <v>76</v>
      </c>
      <c r="P79" s="204" t="s">
        <v>501</v>
      </c>
      <c r="Q79" s="3"/>
      <c r="R79" s="5"/>
    </row>
    <row r="80" spans="1:18" s="4" customFormat="1" ht="40.5" customHeight="1" outlineLevel="1" x14ac:dyDescent="0.25">
      <c r="A80" s="270">
        <v>47</v>
      </c>
      <c r="B80" s="277" t="s">
        <v>167</v>
      </c>
      <c r="C80" s="271" t="s">
        <v>133</v>
      </c>
      <c r="D80" s="276" t="s">
        <v>473</v>
      </c>
      <c r="E80" s="276" t="s">
        <v>441</v>
      </c>
      <c r="F80" s="276" t="s">
        <v>342</v>
      </c>
      <c r="G80" s="276" t="s">
        <v>292</v>
      </c>
      <c r="H80" s="271" t="s">
        <v>2</v>
      </c>
      <c r="I80" s="60">
        <v>1100000000</v>
      </c>
      <c r="J80" s="294">
        <v>1100000000</v>
      </c>
      <c r="K80" s="277" t="s">
        <v>168</v>
      </c>
      <c r="L80" s="294"/>
      <c r="M80" s="294"/>
      <c r="N80" s="60">
        <f t="shared" si="4"/>
        <v>1100000000</v>
      </c>
      <c r="O80" s="534" t="s">
        <v>267</v>
      </c>
      <c r="P80" s="322" t="s">
        <v>501</v>
      </c>
      <c r="Q80" s="3"/>
      <c r="R80" s="5"/>
    </row>
    <row r="81" spans="1:18" s="4" customFormat="1" ht="40.5" outlineLevel="1" x14ac:dyDescent="0.25">
      <c r="A81" s="270">
        <v>48</v>
      </c>
      <c r="B81" s="277" t="s">
        <v>167</v>
      </c>
      <c r="C81" s="271" t="s">
        <v>133</v>
      </c>
      <c r="D81" s="276" t="s">
        <v>473</v>
      </c>
      <c r="E81" s="276" t="s">
        <v>441</v>
      </c>
      <c r="F81" s="276" t="s">
        <v>343</v>
      </c>
      <c r="G81" s="276" t="s">
        <v>293</v>
      </c>
      <c r="H81" s="271" t="s">
        <v>2</v>
      </c>
      <c r="I81" s="60">
        <v>792386600</v>
      </c>
      <c r="J81" s="294">
        <v>791031693</v>
      </c>
      <c r="K81" s="277" t="s">
        <v>168</v>
      </c>
      <c r="L81" s="294"/>
      <c r="M81" s="294"/>
      <c r="N81" s="60">
        <f t="shared" si="4"/>
        <v>791031693</v>
      </c>
      <c r="O81" s="526"/>
      <c r="P81" s="323" t="s">
        <v>501</v>
      </c>
      <c r="Q81" s="3"/>
      <c r="R81" s="5"/>
    </row>
    <row r="82" spans="1:18" s="4" customFormat="1" ht="40.5" outlineLevel="1" x14ac:dyDescent="0.25">
      <c r="A82" s="270">
        <v>49</v>
      </c>
      <c r="B82" s="277" t="s">
        <v>167</v>
      </c>
      <c r="C82" s="271" t="s">
        <v>133</v>
      </c>
      <c r="D82" s="276" t="s">
        <v>473</v>
      </c>
      <c r="E82" s="276" t="s">
        <v>441</v>
      </c>
      <c r="F82" s="276" t="s">
        <v>344</v>
      </c>
      <c r="G82" s="276" t="s">
        <v>294</v>
      </c>
      <c r="H82" s="271" t="s">
        <v>2</v>
      </c>
      <c r="I82" s="60">
        <v>254672300</v>
      </c>
      <c r="J82" s="294">
        <f>168444408+75498000+5196300+5196300</f>
        <v>254335008</v>
      </c>
      <c r="K82" s="277" t="s">
        <v>168</v>
      </c>
      <c r="L82" s="294"/>
      <c r="M82" s="294"/>
      <c r="N82" s="60">
        <f t="shared" si="4"/>
        <v>254335008</v>
      </c>
      <c r="O82" s="527"/>
      <c r="P82" s="329" t="s">
        <v>501</v>
      </c>
      <c r="Q82" s="3"/>
      <c r="R82" s="5"/>
    </row>
    <row r="83" spans="1:18" s="4" customFormat="1" ht="40.5" outlineLevel="1" x14ac:dyDescent="0.25">
      <c r="A83" s="270">
        <v>50</v>
      </c>
      <c r="B83" s="277" t="s">
        <v>169</v>
      </c>
      <c r="C83" s="271" t="s">
        <v>133</v>
      </c>
      <c r="D83" s="276" t="s">
        <v>463</v>
      </c>
      <c r="E83" s="276"/>
      <c r="F83" s="276" t="s">
        <v>345</v>
      </c>
      <c r="G83" s="276" t="s">
        <v>170</v>
      </c>
      <c r="H83" s="271" t="s">
        <v>2</v>
      </c>
      <c r="I83" s="60">
        <v>88731015</v>
      </c>
      <c r="J83" s="294">
        <v>88731000</v>
      </c>
      <c r="K83" s="62">
        <v>8.5000000000000006E-2</v>
      </c>
      <c r="L83" s="294"/>
      <c r="M83" s="294">
        <v>1591081</v>
      </c>
      <c r="N83" s="60">
        <f t="shared" si="4"/>
        <v>88731000</v>
      </c>
      <c r="O83" s="142" t="s">
        <v>171</v>
      </c>
      <c r="P83" s="321"/>
      <c r="Q83" s="3"/>
      <c r="R83" s="5"/>
    </row>
    <row r="84" spans="1:18" ht="81" outlineLevel="1" x14ac:dyDescent="0.25">
      <c r="A84" s="270">
        <v>51</v>
      </c>
      <c r="B84" s="262" t="s">
        <v>175</v>
      </c>
      <c r="C84" s="251" t="s">
        <v>173</v>
      </c>
      <c r="D84" s="251" t="s">
        <v>143</v>
      </c>
      <c r="E84" s="259" t="s">
        <v>441</v>
      </c>
      <c r="F84" s="271" t="s">
        <v>347</v>
      </c>
      <c r="G84" s="271" t="s">
        <v>176</v>
      </c>
      <c r="H84" s="271" t="s">
        <v>51</v>
      </c>
      <c r="I84" s="64">
        <v>8944984.0899999999</v>
      </c>
      <c r="J84" s="294">
        <v>8944984.0899999999</v>
      </c>
      <c r="K84" s="65">
        <v>7.4999999999999997E-3</v>
      </c>
      <c r="L84" s="294">
        <f>2425758.4+151609.9+151609.9</f>
        <v>2728978.1999999997</v>
      </c>
      <c r="M84" s="294">
        <f>881276.03+25084.35+24380.12+23943.98+23373.89</f>
        <v>978058.37</v>
      </c>
      <c r="N84" s="273">
        <f t="shared" si="4"/>
        <v>6216005.8900000006</v>
      </c>
      <c r="O84" s="250" t="s">
        <v>76</v>
      </c>
      <c r="P84" s="291"/>
      <c r="R84" s="5"/>
    </row>
    <row r="85" spans="1:18" ht="55.5" customHeight="1" outlineLevel="1" x14ac:dyDescent="0.25">
      <c r="A85" s="532">
        <v>52</v>
      </c>
      <c r="B85" s="534" t="s">
        <v>177</v>
      </c>
      <c r="C85" s="521" t="s">
        <v>173</v>
      </c>
      <c r="D85" s="521" t="s">
        <v>143</v>
      </c>
      <c r="E85" s="259" t="s">
        <v>441</v>
      </c>
      <c r="F85" s="521" t="s">
        <v>348</v>
      </c>
      <c r="G85" s="271" t="s">
        <v>178</v>
      </c>
      <c r="H85" s="271" t="s">
        <v>51</v>
      </c>
      <c r="I85" s="64">
        <v>5217725</v>
      </c>
      <c r="J85" s="294">
        <v>5217725</v>
      </c>
      <c r="K85" s="65">
        <v>7.4999999999999997E-3</v>
      </c>
      <c r="L85" s="294">
        <f>782658.5+52177.25+52177.25</f>
        <v>887013</v>
      </c>
      <c r="M85" s="294">
        <f>538816.19+16480.36+16284.66</f>
        <v>571581.21</v>
      </c>
      <c r="N85" s="273">
        <f t="shared" si="4"/>
        <v>4330712</v>
      </c>
      <c r="O85" s="521" t="s">
        <v>76</v>
      </c>
      <c r="P85" s="291"/>
      <c r="R85" s="5"/>
    </row>
    <row r="86" spans="1:18" ht="55.5" customHeight="1" outlineLevel="1" x14ac:dyDescent="0.25">
      <c r="A86" s="533"/>
      <c r="B86" s="527"/>
      <c r="C86" s="528"/>
      <c r="D86" s="528"/>
      <c r="E86" s="259" t="s">
        <v>441</v>
      </c>
      <c r="F86" s="528"/>
      <c r="G86" s="271" t="s">
        <v>178</v>
      </c>
      <c r="H86" s="271" t="s">
        <v>2</v>
      </c>
      <c r="I86" s="64">
        <v>93025000</v>
      </c>
      <c r="J86" s="294">
        <v>93025000</v>
      </c>
      <c r="K86" s="65">
        <v>7.4999999999999997E-3</v>
      </c>
      <c r="L86" s="294">
        <f>13953750+930250+930250</f>
        <v>15814250</v>
      </c>
      <c r="M86" s="294">
        <f>9237334.28+296030+287830</f>
        <v>9821194.2799999993</v>
      </c>
      <c r="N86" s="273">
        <f t="shared" si="4"/>
        <v>77210750</v>
      </c>
      <c r="O86" s="528"/>
      <c r="P86" s="327"/>
      <c r="R86" s="5"/>
    </row>
    <row r="87" spans="1:18" ht="81" outlineLevel="1" x14ac:dyDescent="0.25">
      <c r="A87" s="270">
        <v>53</v>
      </c>
      <c r="B87" s="262" t="s">
        <v>179</v>
      </c>
      <c r="C87" s="251" t="s">
        <v>173</v>
      </c>
      <c r="D87" s="251" t="s">
        <v>143</v>
      </c>
      <c r="E87" s="259" t="s">
        <v>441</v>
      </c>
      <c r="F87" s="271" t="s">
        <v>349</v>
      </c>
      <c r="G87" s="271" t="s">
        <v>180</v>
      </c>
      <c r="H87" s="271" t="s">
        <v>51</v>
      </c>
      <c r="I87" s="64">
        <v>1989000</v>
      </c>
      <c r="J87" s="294">
        <v>1989000</v>
      </c>
      <c r="K87" s="65">
        <v>7.4999999999999997E-3</v>
      </c>
      <c r="L87" s="294">
        <f>337118.7+33711.86+33711.86</f>
        <v>404542.42</v>
      </c>
      <c r="M87" s="294">
        <f>177150.18+6084.76+5957.99</f>
        <v>189192.93</v>
      </c>
      <c r="N87" s="273">
        <f t="shared" si="4"/>
        <v>1584457.58</v>
      </c>
      <c r="O87" s="250" t="s">
        <v>76</v>
      </c>
      <c r="P87" s="291"/>
      <c r="R87" s="5"/>
    </row>
    <row r="88" spans="1:18" ht="94.5" outlineLevel="1" x14ac:dyDescent="0.25">
      <c r="A88" s="270">
        <v>54</v>
      </c>
      <c r="B88" s="262" t="s">
        <v>295</v>
      </c>
      <c r="C88" s="251" t="s">
        <v>296</v>
      </c>
      <c r="D88" s="251" t="s">
        <v>143</v>
      </c>
      <c r="E88" s="259" t="s">
        <v>441</v>
      </c>
      <c r="F88" s="251" t="s">
        <v>350</v>
      </c>
      <c r="G88" s="251" t="s">
        <v>297</v>
      </c>
      <c r="H88" s="271" t="s">
        <v>2</v>
      </c>
      <c r="I88" s="64">
        <v>2047212646</v>
      </c>
      <c r="J88" s="267">
        <v>2047212646</v>
      </c>
      <c r="K88" s="65">
        <v>0.02</v>
      </c>
      <c r="L88" s="294">
        <v>0</v>
      </c>
      <c r="M88" s="294">
        <f>88017538.4+20640391+20640391+20303862+20640391</f>
        <v>170242573.40000001</v>
      </c>
      <c r="N88" s="273">
        <f t="shared" si="4"/>
        <v>2047212646</v>
      </c>
      <c r="O88" s="250" t="s">
        <v>76</v>
      </c>
      <c r="P88" s="291"/>
      <c r="R88" s="5"/>
    </row>
    <row r="89" spans="1:18" ht="144" customHeight="1" outlineLevel="1" x14ac:dyDescent="0.25">
      <c r="A89" s="260">
        <v>55</v>
      </c>
      <c r="B89" s="262" t="s">
        <v>181</v>
      </c>
      <c r="C89" s="251" t="s">
        <v>182</v>
      </c>
      <c r="D89" s="251" t="s">
        <v>93</v>
      </c>
      <c r="E89" s="251" t="s">
        <v>441</v>
      </c>
      <c r="F89" s="251" t="s">
        <v>492</v>
      </c>
      <c r="G89" s="251" t="s">
        <v>183</v>
      </c>
      <c r="H89" s="271" t="s">
        <v>51</v>
      </c>
      <c r="I89" s="64">
        <v>2217000</v>
      </c>
      <c r="J89" s="64">
        <v>2217000</v>
      </c>
      <c r="K89" s="66">
        <v>0.02</v>
      </c>
      <c r="L89" s="294">
        <f>1656550.78+18166.04+7000680/387.28+18122.86+18122.86+32122.86+28837.1+8000+8000+8000+20000+20000</f>
        <v>1853999.0337740141</v>
      </c>
      <c r="M89" s="294">
        <f>108750.120345235+1633.42+698950/387.28+1809.39+1778.61+1691.44+3308.88+1649.96+1632.88+1515.4+1606.14+1524.38</f>
        <v>128705.3869223885</v>
      </c>
      <c r="N89" s="273">
        <f t="shared" si="4"/>
        <v>363000.9662259859</v>
      </c>
      <c r="O89" s="250" t="s">
        <v>184</v>
      </c>
      <c r="P89" s="291" t="s">
        <v>498</v>
      </c>
      <c r="R89" s="5"/>
    </row>
    <row r="90" spans="1:18" ht="128.25" customHeight="1" outlineLevel="1" x14ac:dyDescent="0.25">
      <c r="A90" s="270">
        <v>56</v>
      </c>
      <c r="B90" s="277" t="s">
        <v>284</v>
      </c>
      <c r="C90" s="271" t="s">
        <v>285</v>
      </c>
      <c r="D90" s="271" t="s">
        <v>118</v>
      </c>
      <c r="E90" s="276" t="s">
        <v>497</v>
      </c>
      <c r="F90" s="271" t="s">
        <v>352</v>
      </c>
      <c r="G90" s="251" t="s">
        <v>287</v>
      </c>
      <c r="H90" s="271" t="s">
        <v>29</v>
      </c>
      <c r="I90" s="64">
        <f>4199559.68+12720691.2+1113060.48+1966688.64</f>
        <v>20000000</v>
      </c>
      <c r="J90" s="64">
        <f>I90</f>
        <v>20000000</v>
      </c>
      <c r="K90" s="66" t="s">
        <v>288</v>
      </c>
      <c r="L90" s="294"/>
      <c r="M90" s="67">
        <f>77849.88+103888.1+413918.01+520635</f>
        <v>1116290.99</v>
      </c>
      <c r="N90" s="273">
        <f t="shared" si="4"/>
        <v>20000000</v>
      </c>
      <c r="O90" s="250" t="s">
        <v>289</v>
      </c>
      <c r="P90" s="291" t="s">
        <v>498</v>
      </c>
      <c r="R90" s="5"/>
    </row>
    <row r="91" spans="1:18" s="4" customFormat="1" ht="38.25" customHeight="1" outlineLevel="1" x14ac:dyDescent="0.25">
      <c r="A91" s="532">
        <v>57</v>
      </c>
      <c r="B91" s="534" t="s">
        <v>185</v>
      </c>
      <c r="C91" s="521" t="s">
        <v>186</v>
      </c>
      <c r="D91" s="521"/>
      <c r="E91" s="257"/>
      <c r="F91" s="531" t="s">
        <v>353</v>
      </c>
      <c r="G91" s="531" t="s">
        <v>187</v>
      </c>
      <c r="H91" s="272" t="s">
        <v>51</v>
      </c>
      <c r="I91" s="60">
        <v>237758.39</v>
      </c>
      <c r="J91" s="294">
        <v>237758.39</v>
      </c>
      <c r="K91" s="295"/>
      <c r="L91" s="294"/>
      <c r="M91" s="294"/>
      <c r="N91" s="60">
        <f t="shared" si="4"/>
        <v>237758.39</v>
      </c>
      <c r="O91" s="521" t="s">
        <v>76</v>
      </c>
      <c r="P91" s="291"/>
      <c r="Q91" s="3"/>
      <c r="R91" s="5"/>
    </row>
    <row r="92" spans="1:18" s="4" customFormat="1" ht="45" customHeight="1" outlineLevel="1" x14ac:dyDescent="0.25">
      <c r="A92" s="533"/>
      <c r="B92" s="527"/>
      <c r="C92" s="528"/>
      <c r="D92" s="528"/>
      <c r="E92" s="256"/>
      <c r="F92" s="530"/>
      <c r="G92" s="530"/>
      <c r="H92" s="47" t="s">
        <v>2</v>
      </c>
      <c r="I92" s="68">
        <v>28883700</v>
      </c>
      <c r="J92" s="294">
        <v>28883700</v>
      </c>
      <c r="K92" s="269"/>
      <c r="L92" s="294"/>
      <c r="M92" s="294"/>
      <c r="N92" s="60">
        <f t="shared" si="4"/>
        <v>28883700</v>
      </c>
      <c r="O92" s="528"/>
      <c r="P92" s="292"/>
      <c r="Q92" s="3"/>
      <c r="R92" s="5"/>
    </row>
    <row r="93" spans="1:18" s="2" customFormat="1" ht="59.25" customHeight="1" outlineLevel="1" x14ac:dyDescent="0.25">
      <c r="A93" s="260">
        <v>58</v>
      </c>
      <c r="B93" s="262" t="s">
        <v>111</v>
      </c>
      <c r="C93" s="251" t="s">
        <v>112</v>
      </c>
      <c r="D93" s="251" t="s">
        <v>463</v>
      </c>
      <c r="E93" s="259"/>
      <c r="F93" s="251" t="s">
        <v>354</v>
      </c>
      <c r="G93" s="251" t="s">
        <v>114</v>
      </c>
      <c r="H93" s="251" t="s">
        <v>2</v>
      </c>
      <c r="I93" s="267">
        <v>303444194</v>
      </c>
      <c r="J93" s="267">
        <v>303444194</v>
      </c>
      <c r="K93" s="269">
        <v>0</v>
      </c>
      <c r="L93" s="267"/>
      <c r="M93" s="267"/>
      <c r="N93" s="282">
        <f t="shared" si="4"/>
        <v>303444194</v>
      </c>
      <c r="O93" s="250" t="s">
        <v>76</v>
      </c>
      <c r="P93" s="291"/>
      <c r="Q93" s="1"/>
      <c r="R93" s="5"/>
    </row>
    <row r="94" spans="1:18" ht="51" customHeight="1" x14ac:dyDescent="0.25">
      <c r="A94" s="270">
        <v>59</v>
      </c>
      <c r="B94" s="277" t="s">
        <v>440</v>
      </c>
      <c r="C94" s="271" t="s">
        <v>441</v>
      </c>
      <c r="D94" s="271" t="s">
        <v>463</v>
      </c>
      <c r="E94" s="271" t="s">
        <v>441</v>
      </c>
      <c r="F94" s="271" t="s">
        <v>442</v>
      </c>
      <c r="G94" s="271" t="s">
        <v>443</v>
      </c>
      <c r="H94" s="271" t="s">
        <v>2</v>
      </c>
      <c r="I94" s="294">
        <v>1600000000</v>
      </c>
      <c r="J94" s="40">
        <v>1600000000</v>
      </c>
      <c r="K94" s="62">
        <v>0.06</v>
      </c>
      <c r="L94" s="40">
        <f>16666667+16666667</f>
        <v>33333334</v>
      </c>
      <c r="M94" s="40">
        <f>14728767+7827397</f>
        <v>22556164</v>
      </c>
      <c r="N94" s="60">
        <f t="shared" si="4"/>
        <v>1566666666</v>
      </c>
      <c r="O94" s="271" t="s">
        <v>444</v>
      </c>
      <c r="P94" s="204"/>
      <c r="R94" s="5"/>
    </row>
    <row r="95" spans="1:18" ht="155.25" customHeight="1" x14ac:dyDescent="0.25">
      <c r="A95" s="261">
        <v>60</v>
      </c>
      <c r="B95" s="255" t="s">
        <v>481</v>
      </c>
      <c r="C95" s="271" t="s">
        <v>441</v>
      </c>
      <c r="D95" s="271" t="s">
        <v>463</v>
      </c>
      <c r="E95" s="258" t="s">
        <v>441</v>
      </c>
      <c r="F95" s="256"/>
      <c r="G95" s="271" t="s">
        <v>482</v>
      </c>
      <c r="H95" s="271" t="s">
        <v>2</v>
      </c>
      <c r="I95" s="268">
        <v>3500000000</v>
      </c>
      <c r="J95" s="268">
        <v>3500000000</v>
      </c>
      <c r="K95" s="62">
        <v>0.08</v>
      </c>
      <c r="L95" s="192"/>
      <c r="M95" s="192"/>
      <c r="N95" s="60">
        <f t="shared" si="4"/>
        <v>3500000000</v>
      </c>
      <c r="O95" s="253" t="s">
        <v>483</v>
      </c>
      <c r="P95" s="292" t="s">
        <v>498</v>
      </c>
      <c r="R95" s="5"/>
    </row>
    <row r="96" spans="1:18" s="2" customFormat="1" ht="47.25" customHeight="1" outlineLevel="1" x14ac:dyDescent="0.25">
      <c r="A96" s="261">
        <v>61</v>
      </c>
      <c r="B96" s="256" t="s">
        <v>484</v>
      </c>
      <c r="C96" s="256" t="s">
        <v>441</v>
      </c>
      <c r="D96" s="256" t="s">
        <v>463</v>
      </c>
      <c r="E96" s="258" t="s">
        <v>441</v>
      </c>
      <c r="F96" s="99" t="s">
        <v>447</v>
      </c>
      <c r="G96" s="256" t="s">
        <v>263</v>
      </c>
      <c r="H96" s="256" t="s">
        <v>2</v>
      </c>
      <c r="I96" s="268">
        <v>2000000000</v>
      </c>
      <c r="J96" s="268">
        <v>2000000000</v>
      </c>
      <c r="K96" s="281">
        <v>1E-4</v>
      </c>
      <c r="L96" s="268"/>
      <c r="M96" s="268"/>
      <c r="N96" s="284">
        <f t="shared" si="4"/>
        <v>2000000000</v>
      </c>
      <c r="O96" s="253" t="s">
        <v>448</v>
      </c>
      <c r="P96" s="292" t="s">
        <v>498</v>
      </c>
      <c r="Q96" s="1"/>
      <c r="R96" s="5"/>
    </row>
    <row r="97" spans="1:18" s="2" customFormat="1" ht="47.25" customHeight="1" outlineLevel="1" x14ac:dyDescent="0.25">
      <c r="A97" s="261">
        <v>62</v>
      </c>
      <c r="B97" s="256" t="s">
        <v>188</v>
      </c>
      <c r="C97" s="256" t="s">
        <v>189</v>
      </c>
      <c r="D97" s="256" t="s">
        <v>485</v>
      </c>
      <c r="E97" s="258" t="s">
        <v>441</v>
      </c>
      <c r="F97" s="99" t="s">
        <v>355</v>
      </c>
      <c r="G97" s="256" t="s">
        <v>191</v>
      </c>
      <c r="H97" s="256" t="s">
        <v>51</v>
      </c>
      <c r="I97" s="268">
        <v>10000000</v>
      </c>
      <c r="J97" s="268">
        <v>10000000</v>
      </c>
      <c r="K97" s="281" t="s">
        <v>192</v>
      </c>
      <c r="L97" s="268">
        <v>2553676.86</v>
      </c>
      <c r="M97" s="268">
        <f>3533579.15874841+18816925/512.41+16022937.4/426.85+37537.63+37130+36723+37538+'[2]15,08,20 գործող'!$I$55+'[2]15,08,20 գործող'!$I$56+121220</f>
        <v>3953063.4704706864</v>
      </c>
      <c r="N97" s="284">
        <f>J97-L97</f>
        <v>7446323.1400000006</v>
      </c>
      <c r="O97" s="253" t="s">
        <v>193</v>
      </c>
      <c r="P97" s="292" t="s">
        <v>498</v>
      </c>
      <c r="Q97" s="1"/>
      <c r="R97" s="5"/>
    </row>
    <row r="98" spans="1:18" s="2" customFormat="1" ht="51" customHeight="1" outlineLevel="1" thickBot="1" x14ac:dyDescent="0.3">
      <c r="A98" s="270">
        <v>63</v>
      </c>
      <c r="B98" s="271" t="s">
        <v>188</v>
      </c>
      <c r="C98" s="194" t="s">
        <v>502</v>
      </c>
      <c r="D98" s="194" t="s">
        <v>485</v>
      </c>
      <c r="E98" s="74" t="s">
        <v>441</v>
      </c>
      <c r="F98" s="310" t="s">
        <v>356</v>
      </c>
      <c r="G98" s="194" t="s">
        <v>194</v>
      </c>
      <c r="H98" s="194" t="s">
        <v>2</v>
      </c>
      <c r="I98" s="294">
        <v>8000000000</v>
      </c>
      <c r="J98" s="294">
        <v>8000000000</v>
      </c>
      <c r="K98" s="293" t="s">
        <v>195</v>
      </c>
      <c r="L98" s="294"/>
      <c r="M98" s="294">
        <f>3496438357+79342466+80657534+79342466+79342466+1315069+216021918</f>
        <v>4032460276</v>
      </c>
      <c r="N98" s="273">
        <f>J98-L98</f>
        <v>8000000000</v>
      </c>
      <c r="O98" s="140" t="s">
        <v>196</v>
      </c>
      <c r="P98" s="204" t="s">
        <v>498</v>
      </c>
      <c r="Q98" s="1"/>
      <c r="R98" s="5"/>
    </row>
    <row r="99" spans="1:18" s="9" customFormat="1" ht="24.75" customHeight="1" x14ac:dyDescent="0.25">
      <c r="A99" s="591" t="s">
        <v>197</v>
      </c>
      <c r="B99" s="592"/>
      <c r="C99" s="593"/>
      <c r="E99" s="80"/>
      <c r="F99" s="80"/>
      <c r="G99" s="80"/>
      <c r="H99" s="80" t="s">
        <v>29</v>
      </c>
      <c r="I99" s="13">
        <f>SUMIF($H$72:$H$98,H99,$I$72:$I$98)</f>
        <v>41500000</v>
      </c>
      <c r="J99" s="13">
        <f>SUMIF($H$72:$H$98,H99,$J$72:$J$98)</f>
        <v>22503571.57</v>
      </c>
      <c r="K99" s="13"/>
      <c r="L99" s="13">
        <f>SUMIF($H$72:$H$98,H99,$L$72:$L$98)</f>
        <v>32723.821703756206</v>
      </c>
      <c r="M99" s="13">
        <f>SUMIF($H$72:$H$98,H99,$M$72:$M$98)</f>
        <v>1312504.2098881821</v>
      </c>
      <c r="N99" s="13">
        <f>SUMIF($H$72:$H$98,H99,$N$72:$N$98)</f>
        <v>22470847.748296242</v>
      </c>
      <c r="O99" s="147"/>
      <c r="P99" s="325"/>
      <c r="Q99" s="8"/>
      <c r="R99" s="5"/>
    </row>
    <row r="100" spans="1:18" s="9" customFormat="1" ht="39" customHeight="1" x14ac:dyDescent="0.25">
      <c r="A100" s="585"/>
      <c r="B100" s="586"/>
      <c r="C100" s="587"/>
      <c r="D100" s="41"/>
      <c r="E100" s="54"/>
      <c r="F100" s="54"/>
      <c r="G100" s="54"/>
      <c r="H100" s="54" t="s">
        <v>2</v>
      </c>
      <c r="I100" s="11">
        <f>SUMIF($H$72:$H$98,H100,$I$72:$I$98)</f>
        <v>20200988508.200001</v>
      </c>
      <c r="J100" s="11">
        <f>SUMIF($H$72:$H$98,H100,$J$72:$J$98)</f>
        <v>20327946824</v>
      </c>
      <c r="K100" s="11"/>
      <c r="L100" s="11">
        <f>SUMIF($H$72:$H$98,H100,$L$72:$L$98)</f>
        <v>92029476.900000006</v>
      </c>
      <c r="M100" s="11">
        <f>SUMIF($H$72:$H$98,H100,$M$72:$M$98)</f>
        <v>4237199442.1799998</v>
      </c>
      <c r="N100" s="11">
        <f>SUMIF($H$72:$H$98,H100,$N$72:$N$98)</f>
        <v>20235917347.099998</v>
      </c>
      <c r="O100" s="148"/>
      <c r="P100" s="318"/>
      <c r="Q100" s="8"/>
      <c r="R100" s="5"/>
    </row>
    <row r="101" spans="1:18" s="9" customFormat="1" ht="39" customHeight="1" x14ac:dyDescent="0.25">
      <c r="A101" s="585"/>
      <c r="B101" s="586"/>
      <c r="C101" s="587"/>
      <c r="D101" s="41"/>
      <c r="E101" s="54"/>
      <c r="F101" s="54"/>
      <c r="G101" s="54"/>
      <c r="H101" s="54" t="s">
        <v>51</v>
      </c>
      <c r="I101" s="11">
        <f>SUMIF($H$72:$H$98,H101,$I$72:$I$98)</f>
        <v>32967799.48</v>
      </c>
      <c r="J101" s="11">
        <f>SUMIF($H$72:$H$98,H101,$J$72:$J$98)</f>
        <v>29836961.550000001</v>
      </c>
      <c r="K101" s="11"/>
      <c r="L101" s="11">
        <f>SUMIF($H$72:$H$98,H101,$L$72:$L$98)</f>
        <v>9308419.7406632658</v>
      </c>
      <c r="M101" s="11">
        <f>SUMIF($H$72:$H$98,H101,$M$72:$M$98)</f>
        <v>6235565.3673465308</v>
      </c>
      <c r="N101" s="11">
        <f>SUMIF($H$72:$H$98,H101,$N$72:$N$98)</f>
        <v>20528541.809336737</v>
      </c>
      <c r="O101" s="148"/>
      <c r="P101" s="318"/>
      <c r="Q101" s="8"/>
      <c r="R101" s="5"/>
    </row>
    <row r="102" spans="1:18" s="9" customFormat="1" ht="39" customHeight="1" thickBot="1" x14ac:dyDescent="0.3">
      <c r="A102" s="588"/>
      <c r="B102" s="589"/>
      <c r="C102" s="590"/>
      <c r="D102" s="41"/>
      <c r="E102" s="54"/>
      <c r="F102" s="54"/>
      <c r="G102" s="54"/>
      <c r="H102" s="57" t="s">
        <v>71</v>
      </c>
      <c r="I102" s="12">
        <f>SUMIF($H$72:$H$98,H102,$I$72:$I$98)</f>
        <v>0</v>
      </c>
      <c r="J102" s="12">
        <f>SUMIF($H$72:$H$98,H102,$J$72:$J$98)</f>
        <v>0</v>
      </c>
      <c r="K102" s="12"/>
      <c r="L102" s="12">
        <f>SUMIF($H$72:$H$98,H102,$L$72:$L$98)</f>
        <v>0</v>
      </c>
      <c r="M102" s="12">
        <f>SUMIF($H$72:$H$98,H102,$M$72:$M$98)</f>
        <v>0</v>
      </c>
      <c r="N102" s="12">
        <f>SUMIF($H$72:$H$98,H102,$N$72:$N$98)</f>
        <v>0</v>
      </c>
      <c r="O102" s="150"/>
      <c r="P102" s="320"/>
      <c r="Q102" s="8"/>
      <c r="R102" s="5"/>
    </row>
    <row r="103" spans="1:18" s="4" customFormat="1" ht="156.75" customHeight="1" outlineLevel="1" x14ac:dyDescent="0.25">
      <c r="A103" s="270">
        <v>64</v>
      </c>
      <c r="B103" s="251" t="s">
        <v>0</v>
      </c>
      <c r="C103" s="251" t="s">
        <v>1</v>
      </c>
      <c r="D103" s="252" t="s">
        <v>463</v>
      </c>
      <c r="E103" s="257"/>
      <c r="F103" s="257" t="s">
        <v>357</v>
      </c>
      <c r="G103" s="257" t="s">
        <v>198</v>
      </c>
      <c r="H103" s="271" t="s">
        <v>2</v>
      </c>
      <c r="I103" s="68">
        <f>3047000000+3000000000</f>
        <v>6047000000</v>
      </c>
      <c r="J103" s="40">
        <v>6000000000</v>
      </c>
      <c r="K103" s="269"/>
      <c r="L103" s="40">
        <f>4439902959+260956717.5+995441267.7+73262192.2+103703140+88648827.6+23704487.9+9999937.1</f>
        <v>5995619529</v>
      </c>
      <c r="M103" s="40"/>
      <c r="N103" s="267">
        <f t="shared" ref="N103:N108" si="5">J103-L103</f>
        <v>4380471</v>
      </c>
      <c r="O103" s="146" t="s">
        <v>76</v>
      </c>
      <c r="P103" s="323"/>
      <c r="Q103" s="3"/>
      <c r="R103" s="5"/>
    </row>
    <row r="104" spans="1:18" s="4" customFormat="1" ht="147" customHeight="1" outlineLevel="1" x14ac:dyDescent="0.25">
      <c r="A104" s="270">
        <v>65</v>
      </c>
      <c r="B104" s="251" t="s">
        <v>0</v>
      </c>
      <c r="C104" s="521" t="s">
        <v>7</v>
      </c>
      <c r="D104" s="251" t="s">
        <v>463</v>
      </c>
      <c r="E104" s="259"/>
      <c r="F104" s="259" t="s">
        <v>488</v>
      </c>
      <c r="G104" s="259" t="s">
        <v>9</v>
      </c>
      <c r="H104" s="271" t="s">
        <v>2</v>
      </c>
      <c r="I104" s="294">
        <v>2000000000</v>
      </c>
      <c r="J104" s="40">
        <v>2000000000</v>
      </c>
      <c r="K104" s="295">
        <v>2.7E-2</v>
      </c>
      <c r="L104" s="40"/>
      <c r="M104" s="273">
        <f>68417269.8+13462993.2+49643.9+1421840.5+38566246.5+491534.9+1119195.4+178355+29883.2+10588.6+3022.3</f>
        <v>123750573.30000001</v>
      </c>
      <c r="N104" s="273">
        <f t="shared" si="5"/>
        <v>2000000000</v>
      </c>
      <c r="O104" s="146" t="s">
        <v>76</v>
      </c>
      <c r="P104" s="322"/>
      <c r="Q104" s="3"/>
      <c r="R104" s="5"/>
    </row>
    <row r="105" spans="1:18" s="4" customFormat="1" ht="144.75" customHeight="1" outlineLevel="1" x14ac:dyDescent="0.25">
      <c r="A105" s="270">
        <v>66</v>
      </c>
      <c r="B105" s="251" t="s">
        <v>0</v>
      </c>
      <c r="C105" s="522"/>
      <c r="D105" s="278" t="s">
        <v>463</v>
      </c>
      <c r="E105" s="259"/>
      <c r="F105" s="259" t="s">
        <v>489</v>
      </c>
      <c r="G105" s="259" t="s">
        <v>11</v>
      </c>
      <c r="H105" s="256" t="s">
        <v>2</v>
      </c>
      <c r="I105" s="294">
        <v>2000000000</v>
      </c>
      <c r="J105" s="40">
        <v>2000000000</v>
      </c>
      <c r="K105" s="70">
        <v>5.7000000000000002E-2</v>
      </c>
      <c r="L105" s="40"/>
      <c r="M105" s="40">
        <f>153819379.6+28421448.8+780809.1+528470.5+2614769.3+283790.1+5159868.8+1406739.9</f>
        <v>193015276.10000002</v>
      </c>
      <c r="N105" s="273">
        <f t="shared" si="5"/>
        <v>2000000000</v>
      </c>
      <c r="O105" s="146" t="s">
        <v>76</v>
      </c>
      <c r="P105" s="322"/>
      <c r="Q105" s="3"/>
      <c r="R105" s="5"/>
    </row>
    <row r="106" spans="1:18" s="4" customFormat="1" ht="168" customHeight="1" outlineLevel="1" x14ac:dyDescent="0.25">
      <c r="A106" s="270">
        <v>67</v>
      </c>
      <c r="B106" s="311" t="s">
        <v>0</v>
      </c>
      <c r="C106" s="528"/>
      <c r="D106" s="253"/>
      <c r="E106" s="312"/>
      <c r="F106" s="276" t="s">
        <v>490</v>
      </c>
      <c r="G106" s="276" t="s">
        <v>199</v>
      </c>
      <c r="H106" s="256" t="s">
        <v>2</v>
      </c>
      <c r="I106" s="294">
        <v>5000000000</v>
      </c>
      <c r="J106" s="40">
        <v>5000000000</v>
      </c>
      <c r="K106" s="295">
        <v>2.7E-2</v>
      </c>
      <c r="L106" s="40"/>
      <c r="M106" s="40">
        <f>34209157.5+76580313.4+83507353.3+1840160.7</f>
        <v>196136984.89999998</v>
      </c>
      <c r="N106" s="273">
        <f t="shared" si="5"/>
        <v>5000000000</v>
      </c>
      <c r="O106" s="142" t="s">
        <v>76</v>
      </c>
      <c r="P106" s="321"/>
      <c r="Q106" s="3"/>
      <c r="R106" s="5"/>
    </row>
    <row r="107" spans="1:18" s="4" customFormat="1" ht="162" outlineLevel="1" x14ac:dyDescent="0.25">
      <c r="A107" s="261">
        <v>68</v>
      </c>
      <c r="B107" s="252" t="s">
        <v>3</v>
      </c>
      <c r="C107" s="252" t="s">
        <v>5</v>
      </c>
      <c r="D107" s="252" t="s">
        <v>463</v>
      </c>
      <c r="E107" s="257"/>
      <c r="F107" s="257" t="s">
        <v>358</v>
      </c>
      <c r="G107" s="257" t="s">
        <v>6</v>
      </c>
      <c r="H107" s="256" t="s">
        <v>2</v>
      </c>
      <c r="I107" s="268">
        <v>562500000</v>
      </c>
      <c r="J107" s="192">
        <v>562500000</v>
      </c>
      <c r="K107" s="70"/>
      <c r="L107" s="192"/>
      <c r="M107" s="192"/>
      <c r="N107" s="283">
        <f t="shared" si="5"/>
        <v>562500000</v>
      </c>
      <c r="O107" s="151" t="s">
        <v>76</v>
      </c>
      <c r="P107" s="323"/>
      <c r="Q107" s="3"/>
      <c r="R107" s="5"/>
    </row>
    <row r="108" spans="1:18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463</v>
      </c>
      <c r="E108" s="74"/>
      <c r="F108" s="74"/>
      <c r="G108" s="74" t="s">
        <v>369</v>
      </c>
      <c r="H108" s="194" t="s">
        <v>2</v>
      </c>
      <c r="I108" s="75">
        <f>2000000000+7300000000</f>
        <v>9300000000</v>
      </c>
      <c r="J108" s="76">
        <f>9024295000</f>
        <v>9024295000</v>
      </c>
      <c r="K108" s="77"/>
      <c r="L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M108" s="76">
        <f>34040214.6+16030636.8+1797857.1+7375602.5+3983531.1+11814600.3+22459610.6+9668538.8+11671711.4+6908264.6+1329981.6</f>
        <v>127080549.39999999</v>
      </c>
      <c r="N108" s="78">
        <f t="shared" si="5"/>
        <v>205429617.19999313</v>
      </c>
      <c r="O108" s="195" t="s">
        <v>76</v>
      </c>
      <c r="P108" s="324"/>
      <c r="Q108" s="3"/>
      <c r="R108" s="5"/>
    </row>
    <row r="109" spans="1:18" s="9" customFormat="1" ht="30" customHeight="1" x14ac:dyDescent="0.25">
      <c r="A109" s="591" t="s">
        <v>200</v>
      </c>
      <c r="B109" s="592"/>
      <c r="C109" s="593"/>
      <c r="D109" s="309"/>
      <c r="E109" s="80"/>
      <c r="F109" s="80"/>
      <c r="G109" s="80"/>
      <c r="H109" s="313" t="s">
        <v>29</v>
      </c>
      <c r="I109" s="14">
        <f>SUMIF($H$103:$H$108,H109,$I$103:$I$108)</f>
        <v>0</v>
      </c>
      <c r="J109" s="14">
        <f>SUMIF($H$103:$H$108,H109,$J$103:$J$108)</f>
        <v>0</v>
      </c>
      <c r="K109" s="14"/>
      <c r="L109" s="14">
        <f>SUMIF($H$103:$H$108,H109,$L$103:$L$108)</f>
        <v>0</v>
      </c>
      <c r="M109" s="14">
        <f>SUMIF($H$103:$H$108,H109,$M$103:$M$108)</f>
        <v>0</v>
      </c>
      <c r="N109" s="14">
        <f>SUMIF($H$103:$H$108,H109,$N$103:$N$108)</f>
        <v>0</v>
      </c>
      <c r="O109" s="152"/>
      <c r="P109" s="325"/>
      <c r="Q109" s="3"/>
      <c r="R109" s="5"/>
    </row>
    <row r="110" spans="1:18" s="9" customFormat="1" ht="27" customHeight="1" x14ac:dyDescent="0.25">
      <c r="A110" s="585"/>
      <c r="B110" s="586"/>
      <c r="C110" s="587"/>
      <c r="D110" s="41"/>
      <c r="E110" s="54"/>
      <c r="F110" s="54"/>
      <c r="G110" s="54"/>
      <c r="H110" s="314" t="s">
        <v>2</v>
      </c>
      <c r="I110" s="14">
        <f>SUMIF($H$103:$H$108,H110,$I$103:$I$108)</f>
        <v>24909500000</v>
      </c>
      <c r="J110" s="11">
        <f>SUMIF($H$103:$H$108,H110,$J$103:$J$108)</f>
        <v>24586795000</v>
      </c>
      <c r="K110" s="11"/>
      <c r="L110" s="11">
        <f>SUMIF($H$103:$H$108,H110,$L$103:$L$108)</f>
        <v>14814484911.800007</v>
      </c>
      <c r="M110" s="11">
        <f>SUMIF($H$103:$H$108,H110,$M$103:$M$108)</f>
        <v>639983383.70000005</v>
      </c>
      <c r="N110" s="11">
        <f>SUMIF($H$103:$H$108,H110,$N$103:$N$108)</f>
        <v>9772310088.1999931</v>
      </c>
      <c r="O110" s="148"/>
      <c r="P110" s="318"/>
      <c r="Q110" s="3"/>
      <c r="R110" s="5"/>
    </row>
    <row r="111" spans="1:18" s="9" customFormat="1" ht="28.5" customHeight="1" x14ac:dyDescent="0.25">
      <c r="A111" s="585"/>
      <c r="B111" s="586"/>
      <c r="C111" s="587"/>
      <c r="D111" s="41"/>
      <c r="E111" s="54"/>
      <c r="F111" s="54"/>
      <c r="G111" s="54"/>
      <c r="H111" s="314" t="s">
        <v>51</v>
      </c>
      <c r="I111" s="14">
        <f>SUMIF($H$103:$H$108,H111,$I$103:$I$108)</f>
        <v>0</v>
      </c>
      <c r="J111" s="11">
        <f>SUMIF($H$103:$H$108,H111,$J$103:$J$108)</f>
        <v>0</v>
      </c>
      <c r="K111" s="11"/>
      <c r="L111" s="11">
        <f>SUMIF($H$103:$H$108,H111,$L$103:$L$108)</f>
        <v>0</v>
      </c>
      <c r="M111" s="11">
        <f>SUMIF($H$103:$H$108,H111,$M$103:$M$108)</f>
        <v>0</v>
      </c>
      <c r="N111" s="11">
        <f>SUMIF($H$103:$H$108,H111,$N$103:$N$108)</f>
        <v>0</v>
      </c>
      <c r="O111" s="148"/>
      <c r="P111" s="318"/>
      <c r="Q111" s="8"/>
      <c r="R111" s="5"/>
    </row>
    <row r="112" spans="1:18" s="9" customFormat="1" ht="30" customHeight="1" thickBot="1" x14ac:dyDescent="0.3">
      <c r="A112" s="588"/>
      <c r="B112" s="589"/>
      <c r="C112" s="590"/>
      <c r="D112" s="306"/>
      <c r="E112" s="57"/>
      <c r="F112" s="57"/>
      <c r="G112" s="57"/>
      <c r="H112" s="304" t="s">
        <v>71</v>
      </c>
      <c r="I112" s="12">
        <f>SUMIF($H$103:$H$108,H112,$I$103:$I$108)</f>
        <v>0</v>
      </c>
      <c r="J112" s="12">
        <f>SUMIF($H$103:$H$108,H112,$J$103:$J$108)</f>
        <v>0</v>
      </c>
      <c r="K112" s="12"/>
      <c r="L112" s="12">
        <f>SUMIF($H$103:$H$108,H112,$L$103:$L$108)</f>
        <v>0</v>
      </c>
      <c r="M112" s="12">
        <f>SUMIF($H$103:$H$108,H112,$M$103:$M$108)</f>
        <v>0</v>
      </c>
      <c r="N112" s="12">
        <f>SUMIF($H$103:$H$108,H112,$N$103:$N$108)</f>
        <v>0</v>
      </c>
      <c r="O112" s="150"/>
      <c r="P112" s="320"/>
      <c r="Q112" s="8"/>
      <c r="R112" s="5"/>
    </row>
    <row r="113" spans="1:18" s="4" customFormat="1" ht="121.5" outlineLevel="1" x14ac:dyDescent="0.25">
      <c r="A113" s="261">
        <v>70</v>
      </c>
      <c r="B113" s="254" t="s">
        <v>201</v>
      </c>
      <c r="C113" s="254" t="s">
        <v>202</v>
      </c>
      <c r="D113" s="252" t="s">
        <v>463</v>
      </c>
      <c r="E113" s="252" t="s">
        <v>441</v>
      </c>
      <c r="F113" s="257" t="s">
        <v>359</v>
      </c>
      <c r="G113" s="257" t="s">
        <v>203</v>
      </c>
      <c r="H113" s="271" t="s">
        <v>2</v>
      </c>
      <c r="I113" s="79">
        <v>574491741</v>
      </c>
      <c r="J113" s="79">
        <v>574491741</v>
      </c>
      <c r="K113" s="280">
        <v>1E-4</v>
      </c>
      <c r="L113" s="79">
        <f>132575017.2</f>
        <v>132575017.2</v>
      </c>
      <c r="M113" s="79">
        <f>85623+14165+39966.7</f>
        <v>139754.70000000001</v>
      </c>
      <c r="N113" s="283">
        <f t="shared" ref="N113:N125" si="6">J113-L113</f>
        <v>441916723.80000001</v>
      </c>
      <c r="O113" s="151" t="s">
        <v>204</v>
      </c>
      <c r="P113" s="323"/>
      <c r="Q113" s="3"/>
      <c r="R113" s="5"/>
    </row>
    <row r="114" spans="1:18" s="4" customFormat="1" ht="81" outlineLevel="1" x14ac:dyDescent="0.25">
      <c r="A114" s="270">
        <v>71</v>
      </c>
      <c r="B114" s="262" t="s">
        <v>205</v>
      </c>
      <c r="C114" s="262" t="s">
        <v>202</v>
      </c>
      <c r="D114" s="251" t="s">
        <v>463</v>
      </c>
      <c r="E114" s="251" t="s">
        <v>441</v>
      </c>
      <c r="F114" s="259" t="s">
        <v>360</v>
      </c>
      <c r="G114" s="259" t="s">
        <v>206</v>
      </c>
      <c r="H114" s="271" t="s">
        <v>2</v>
      </c>
      <c r="I114" s="68">
        <v>98612371</v>
      </c>
      <c r="J114" s="60">
        <v>98612371</v>
      </c>
      <c r="K114" s="264">
        <v>1E-4</v>
      </c>
      <c r="L114" s="60"/>
      <c r="M114" s="60">
        <v>17060</v>
      </c>
      <c r="N114" s="282">
        <f t="shared" si="6"/>
        <v>98612371</v>
      </c>
      <c r="O114" s="146" t="s">
        <v>207</v>
      </c>
      <c r="P114" s="322"/>
      <c r="Q114" s="3"/>
      <c r="R114" s="5"/>
    </row>
    <row r="115" spans="1:18" s="4" customFormat="1" ht="81" outlineLevel="1" x14ac:dyDescent="0.25">
      <c r="A115" s="270">
        <v>72</v>
      </c>
      <c r="B115" s="262" t="s">
        <v>208</v>
      </c>
      <c r="C115" s="262" t="s">
        <v>202</v>
      </c>
      <c r="D115" s="251" t="s">
        <v>463</v>
      </c>
      <c r="E115" s="251" t="s">
        <v>441</v>
      </c>
      <c r="F115" s="259" t="s">
        <v>361</v>
      </c>
      <c r="G115" s="259" t="s">
        <v>209</v>
      </c>
      <c r="H115" s="271" t="s">
        <v>2</v>
      </c>
      <c r="I115" s="68">
        <v>60132468</v>
      </c>
      <c r="J115" s="60">
        <v>60132468</v>
      </c>
      <c r="K115" s="264">
        <v>1E-4</v>
      </c>
      <c r="L115" s="60">
        <f>4625574.5+4625574.5+4625574.5+4625574.5+4625575+4625575+4625575+4625575+4625575</f>
        <v>41630173</v>
      </c>
      <c r="M115" s="60">
        <f>10367+1511.2+1400+1500+1500+1000+20000+1000</f>
        <v>38278.199999999997</v>
      </c>
      <c r="N115" s="282">
        <f t="shared" si="6"/>
        <v>18502295</v>
      </c>
      <c r="O115" s="146" t="s">
        <v>210</v>
      </c>
      <c r="P115" s="322"/>
      <c r="Q115" s="15"/>
      <c r="R115" s="5"/>
    </row>
    <row r="116" spans="1:18" s="4" customFormat="1" ht="81" outlineLevel="1" x14ac:dyDescent="0.25">
      <c r="A116" s="270">
        <v>73</v>
      </c>
      <c r="B116" s="262" t="s">
        <v>211</v>
      </c>
      <c r="C116" s="262" t="s">
        <v>202</v>
      </c>
      <c r="D116" s="251" t="s">
        <v>463</v>
      </c>
      <c r="E116" s="251" t="s">
        <v>441</v>
      </c>
      <c r="F116" s="259" t="s">
        <v>362</v>
      </c>
      <c r="G116" s="259" t="s">
        <v>212</v>
      </c>
      <c r="H116" s="271" t="s">
        <v>2</v>
      </c>
      <c r="I116" s="294">
        <f>9500000+12453199</f>
        <v>21953199</v>
      </c>
      <c r="J116" s="60">
        <f>9500000+12453199</f>
        <v>21953199</v>
      </c>
      <c r="K116" s="264">
        <v>1E-4</v>
      </c>
      <c r="L116" s="60"/>
      <c r="M116" s="60">
        <v>3720</v>
      </c>
      <c r="N116" s="282">
        <f t="shared" si="6"/>
        <v>21953199</v>
      </c>
      <c r="O116" s="146" t="s">
        <v>213</v>
      </c>
      <c r="P116" s="322"/>
      <c r="Q116" s="15"/>
      <c r="R116" s="5"/>
    </row>
    <row r="117" spans="1:18" s="4" customFormat="1" ht="129.75" customHeight="1" outlineLevel="1" x14ac:dyDescent="0.25">
      <c r="A117" s="270">
        <v>74</v>
      </c>
      <c r="B117" s="262" t="s">
        <v>214</v>
      </c>
      <c r="C117" s="262" t="s">
        <v>202</v>
      </c>
      <c r="D117" s="251" t="s">
        <v>463</v>
      </c>
      <c r="E117" s="251" t="s">
        <v>441</v>
      </c>
      <c r="F117" s="259" t="s">
        <v>362</v>
      </c>
      <c r="G117" s="259" t="s">
        <v>215</v>
      </c>
      <c r="H117" s="271" t="s">
        <v>2</v>
      </c>
      <c r="I117" s="68">
        <v>15801400</v>
      </c>
      <c r="J117" s="60">
        <v>15801400</v>
      </c>
      <c r="K117" s="264">
        <v>1E-4</v>
      </c>
      <c r="L117" s="60"/>
      <c r="M117" s="60">
        <v>3500</v>
      </c>
      <c r="N117" s="282">
        <f t="shared" si="6"/>
        <v>15801400</v>
      </c>
      <c r="O117" s="146" t="s">
        <v>216</v>
      </c>
      <c r="P117" s="322"/>
      <c r="Q117" s="15"/>
      <c r="R117" s="5"/>
    </row>
    <row r="118" spans="1:18" s="4" customFormat="1" ht="129.75" customHeight="1" outlineLevel="1" x14ac:dyDescent="0.25">
      <c r="A118" s="270">
        <v>75</v>
      </c>
      <c r="B118" s="262" t="s">
        <v>217</v>
      </c>
      <c r="C118" s="262" t="s">
        <v>202</v>
      </c>
      <c r="D118" s="251" t="s">
        <v>463</v>
      </c>
      <c r="E118" s="251" t="s">
        <v>441</v>
      </c>
      <c r="F118" s="259" t="s">
        <v>362</v>
      </c>
      <c r="G118" s="259" t="s">
        <v>215</v>
      </c>
      <c r="H118" s="271" t="s">
        <v>2</v>
      </c>
      <c r="I118" s="68">
        <v>2554000</v>
      </c>
      <c r="J118" s="60">
        <v>2554000</v>
      </c>
      <c r="K118" s="264">
        <v>1E-4</v>
      </c>
      <c r="L118" s="60"/>
      <c r="M118" s="60">
        <f>500</f>
        <v>500</v>
      </c>
      <c r="N118" s="282">
        <f t="shared" si="6"/>
        <v>2554000</v>
      </c>
      <c r="O118" s="146" t="s">
        <v>218</v>
      </c>
      <c r="P118" s="322"/>
      <c r="Q118" s="15"/>
      <c r="R118" s="5"/>
    </row>
    <row r="119" spans="1:18" s="4" customFormat="1" ht="129.75" customHeight="1" outlineLevel="1" x14ac:dyDescent="0.25">
      <c r="A119" s="270">
        <v>76</v>
      </c>
      <c r="B119" s="262" t="s">
        <v>219</v>
      </c>
      <c r="C119" s="262" t="s">
        <v>202</v>
      </c>
      <c r="D119" s="251" t="s">
        <v>463</v>
      </c>
      <c r="E119" s="251" t="s">
        <v>441</v>
      </c>
      <c r="F119" s="259" t="s">
        <v>362</v>
      </c>
      <c r="G119" s="259" t="s">
        <v>220</v>
      </c>
      <c r="H119" s="271" t="s">
        <v>2</v>
      </c>
      <c r="I119" s="68">
        <v>29053320</v>
      </c>
      <c r="J119" s="60">
        <v>29053320</v>
      </c>
      <c r="K119" s="264">
        <v>1E-4</v>
      </c>
      <c r="L119" s="60"/>
      <c r="M119" s="60">
        <f>2000+3000</f>
        <v>5000</v>
      </c>
      <c r="N119" s="282">
        <f t="shared" si="6"/>
        <v>29053320</v>
      </c>
      <c r="O119" s="146" t="s">
        <v>221</v>
      </c>
      <c r="P119" s="322"/>
      <c r="Q119" s="15"/>
      <c r="R119" s="5"/>
    </row>
    <row r="120" spans="1:18" s="4" customFormat="1" ht="129.75" customHeight="1" outlineLevel="1" x14ac:dyDescent="0.25">
      <c r="A120" s="270">
        <v>77</v>
      </c>
      <c r="B120" s="262" t="s">
        <v>222</v>
      </c>
      <c r="C120" s="262" t="s">
        <v>202</v>
      </c>
      <c r="D120" s="251" t="s">
        <v>463</v>
      </c>
      <c r="E120" s="251" t="s">
        <v>441</v>
      </c>
      <c r="F120" s="259" t="s">
        <v>362</v>
      </c>
      <c r="G120" s="259" t="s">
        <v>223</v>
      </c>
      <c r="H120" s="271" t="s">
        <v>2</v>
      </c>
      <c r="I120" s="68">
        <v>192064443</v>
      </c>
      <c r="J120" s="60">
        <f>95000000+97064443</f>
        <v>192064443</v>
      </c>
      <c r="K120" s="264">
        <v>1E-4</v>
      </c>
      <c r="L120" s="60">
        <f>65000000+20000000+30000000</f>
        <v>115000000</v>
      </c>
      <c r="M120" s="60">
        <f>16100+12200+23933</f>
        <v>52233</v>
      </c>
      <c r="N120" s="282">
        <f t="shared" si="6"/>
        <v>77064443</v>
      </c>
      <c r="O120" s="146" t="s">
        <v>224</v>
      </c>
      <c r="P120" s="322"/>
      <c r="Q120" s="15"/>
      <c r="R120" s="5"/>
    </row>
    <row r="121" spans="1:18" s="4" customFormat="1" ht="129.75" customHeight="1" outlineLevel="1" x14ac:dyDescent="0.25">
      <c r="A121" s="270">
        <v>78</v>
      </c>
      <c r="B121" s="262" t="s">
        <v>226</v>
      </c>
      <c r="C121" s="262" t="s">
        <v>202</v>
      </c>
      <c r="D121" s="251" t="s">
        <v>463</v>
      </c>
      <c r="E121" s="251" t="s">
        <v>441</v>
      </c>
      <c r="F121" s="259" t="s">
        <v>362</v>
      </c>
      <c r="G121" s="259" t="s">
        <v>225</v>
      </c>
      <c r="H121" s="271" t="s">
        <v>2</v>
      </c>
      <c r="I121" s="68">
        <v>3469534</v>
      </c>
      <c r="J121" s="60">
        <v>3469534</v>
      </c>
      <c r="K121" s="264">
        <v>1E-4</v>
      </c>
      <c r="L121" s="60">
        <v>266887</v>
      </c>
      <c r="M121" s="60">
        <f>600+86</f>
        <v>686</v>
      </c>
      <c r="N121" s="282">
        <f t="shared" si="6"/>
        <v>3202647</v>
      </c>
      <c r="O121" s="146" t="s">
        <v>227</v>
      </c>
      <c r="P121" s="322"/>
      <c r="Q121" s="15"/>
      <c r="R121" s="5"/>
    </row>
    <row r="122" spans="1:18" s="4" customFormat="1" ht="129.75" customHeight="1" outlineLevel="1" x14ac:dyDescent="0.25">
      <c r="A122" s="270">
        <v>79</v>
      </c>
      <c r="B122" s="262" t="s">
        <v>228</v>
      </c>
      <c r="C122" s="262" t="s">
        <v>202</v>
      </c>
      <c r="D122" s="251" t="s">
        <v>463</v>
      </c>
      <c r="E122" s="251" t="s">
        <v>441</v>
      </c>
      <c r="F122" s="259" t="s">
        <v>362</v>
      </c>
      <c r="G122" s="259" t="s">
        <v>229</v>
      </c>
      <c r="H122" s="271" t="s">
        <v>2</v>
      </c>
      <c r="I122" s="68">
        <v>11781702</v>
      </c>
      <c r="J122" s="60">
        <v>11781702</v>
      </c>
      <c r="K122" s="264">
        <v>1E-4</v>
      </c>
      <c r="L122" s="60">
        <f>906285+906285+906285+906285+906285+906285+906285+906285</f>
        <v>7250280</v>
      </c>
      <c r="M122" s="60">
        <f>3000+1500+1500</f>
        <v>6000</v>
      </c>
      <c r="N122" s="282">
        <f t="shared" si="6"/>
        <v>4531422</v>
      </c>
      <c r="O122" s="146" t="s">
        <v>230</v>
      </c>
      <c r="P122" s="322"/>
      <c r="Q122" s="15"/>
      <c r="R122" s="5"/>
    </row>
    <row r="123" spans="1:18" s="4" customFormat="1" ht="129.75" customHeight="1" outlineLevel="1" x14ac:dyDescent="0.25">
      <c r="A123" s="270">
        <v>80</v>
      </c>
      <c r="B123" s="262" t="s">
        <v>231</v>
      </c>
      <c r="C123" s="262" t="s">
        <v>202</v>
      </c>
      <c r="D123" s="251" t="s">
        <v>463</v>
      </c>
      <c r="E123" s="251" t="s">
        <v>441</v>
      </c>
      <c r="F123" s="259" t="s">
        <v>362</v>
      </c>
      <c r="G123" s="259" t="s">
        <v>232</v>
      </c>
      <c r="H123" s="271" t="s">
        <v>2</v>
      </c>
      <c r="I123" s="68">
        <f>112000000+16200000</f>
        <v>128200000</v>
      </c>
      <c r="J123" s="60">
        <f>112000000+16200000</f>
        <v>128200000</v>
      </c>
      <c r="K123" s="264">
        <v>1E-4</v>
      </c>
      <c r="L123" s="60">
        <f>3000000+3000000+4000000</f>
        <v>10000000</v>
      </c>
      <c r="M123" s="60">
        <f>25640+12820</f>
        <v>38460</v>
      </c>
      <c r="N123" s="282">
        <f t="shared" si="6"/>
        <v>118200000</v>
      </c>
      <c r="O123" s="146" t="s">
        <v>233</v>
      </c>
      <c r="P123" s="322"/>
      <c r="Q123" s="15"/>
      <c r="R123" s="5"/>
    </row>
    <row r="124" spans="1:18" s="4" customFormat="1" ht="129.75" customHeight="1" outlineLevel="1" x14ac:dyDescent="0.25">
      <c r="A124" s="270">
        <v>81</v>
      </c>
      <c r="B124" s="262" t="s">
        <v>234</v>
      </c>
      <c r="C124" s="262" t="s">
        <v>202</v>
      </c>
      <c r="D124" s="251" t="s">
        <v>463</v>
      </c>
      <c r="E124" s="251" t="s">
        <v>441</v>
      </c>
      <c r="F124" s="259" t="s">
        <v>362</v>
      </c>
      <c r="G124" s="259" t="s">
        <v>235</v>
      </c>
      <c r="H124" s="271" t="s">
        <v>2</v>
      </c>
      <c r="I124" s="68">
        <v>26127500</v>
      </c>
      <c r="J124" s="60">
        <v>26127500</v>
      </c>
      <c r="K124" s="264">
        <v>1E-4</v>
      </c>
      <c r="L124" s="60"/>
      <c r="M124" s="60">
        <f>4530</f>
        <v>4530</v>
      </c>
      <c r="N124" s="282">
        <f t="shared" si="6"/>
        <v>26127500</v>
      </c>
      <c r="O124" s="146" t="s">
        <v>236</v>
      </c>
      <c r="P124" s="322"/>
      <c r="Q124" s="15"/>
      <c r="R124" s="5"/>
    </row>
    <row r="125" spans="1:18" s="4" customFormat="1" ht="129.75" customHeight="1" outlineLevel="1" x14ac:dyDescent="0.25">
      <c r="A125" s="270">
        <v>82</v>
      </c>
      <c r="B125" s="262" t="s">
        <v>237</v>
      </c>
      <c r="C125" s="262" t="s">
        <v>202</v>
      </c>
      <c r="D125" s="251" t="s">
        <v>463</v>
      </c>
      <c r="E125" s="251" t="s">
        <v>441</v>
      </c>
      <c r="F125" s="259" t="s">
        <v>362</v>
      </c>
      <c r="G125" s="259" t="s">
        <v>238</v>
      </c>
      <c r="H125" s="271" t="s">
        <v>2</v>
      </c>
      <c r="I125" s="68">
        <v>19297200</v>
      </c>
      <c r="J125" s="60">
        <f>10800000+3440000+1440000+3617200</f>
        <v>19297200</v>
      </c>
      <c r="K125" s="264">
        <v>1E-4</v>
      </c>
      <c r="L125" s="60"/>
      <c r="M125" s="60">
        <f>3000</f>
        <v>3000</v>
      </c>
      <c r="N125" s="282">
        <f t="shared" si="6"/>
        <v>19297200</v>
      </c>
      <c r="O125" s="146" t="s">
        <v>239</v>
      </c>
      <c r="P125" s="322"/>
      <c r="Q125" s="15"/>
      <c r="R125" s="5"/>
    </row>
    <row r="126" spans="1:18" s="4" customFormat="1" ht="129.75" customHeight="1" outlineLevel="1" x14ac:dyDescent="0.25">
      <c r="A126" s="270">
        <v>83</v>
      </c>
      <c r="B126" s="262" t="s">
        <v>240</v>
      </c>
      <c r="C126" s="262" t="s">
        <v>202</v>
      </c>
      <c r="D126" s="251" t="s">
        <v>463</v>
      </c>
      <c r="E126" s="251" t="s">
        <v>441</v>
      </c>
      <c r="F126" s="259" t="s">
        <v>362</v>
      </c>
      <c r="G126" s="259" t="s">
        <v>225</v>
      </c>
      <c r="H126" s="271" t="s">
        <v>2</v>
      </c>
      <c r="I126" s="68">
        <v>2164000</v>
      </c>
      <c r="J126" s="60">
        <v>2164000</v>
      </c>
      <c r="K126" s="264">
        <v>1E-4</v>
      </c>
      <c r="L126" s="60">
        <f>166462+166462+165000+167000+166500+166500+67000+265923</f>
        <v>1330847</v>
      </c>
      <c r="M126" s="60">
        <f>370+54.8+100+100+500</f>
        <v>1124.8</v>
      </c>
      <c r="N126" s="282">
        <f>J126-M126</f>
        <v>2162875.2000000002</v>
      </c>
      <c r="O126" s="146" t="s">
        <v>241</v>
      </c>
      <c r="P126" s="322"/>
      <c r="Q126" s="15"/>
      <c r="R126" s="5"/>
    </row>
    <row r="127" spans="1:18" s="4" customFormat="1" ht="129.75" customHeight="1" outlineLevel="1" x14ac:dyDescent="0.25">
      <c r="A127" s="270">
        <v>84</v>
      </c>
      <c r="B127" s="262" t="s">
        <v>242</v>
      </c>
      <c r="C127" s="262" t="s">
        <v>202</v>
      </c>
      <c r="D127" s="251" t="s">
        <v>463</v>
      </c>
      <c r="E127" s="251" t="s">
        <v>441</v>
      </c>
      <c r="F127" s="259" t="s">
        <v>362</v>
      </c>
      <c r="G127" s="259" t="s">
        <v>243</v>
      </c>
      <c r="H127" s="271" t="s">
        <v>2</v>
      </c>
      <c r="I127" s="68">
        <v>253504102</v>
      </c>
      <c r="J127" s="60">
        <v>253504102</v>
      </c>
      <c r="K127" s="264">
        <v>1E-4</v>
      </c>
      <c r="L127" s="60">
        <f>19500316+19500316+19500315+19500315+19500315+19500315+19500316+19500316</f>
        <v>156002524</v>
      </c>
      <c r="M127" s="60">
        <f>5973+6390+6181+6389+6181.4+6390+6390+6390+6389+5407+7015+5059.2+9482.9</f>
        <v>83637.499999999985</v>
      </c>
      <c r="N127" s="282">
        <f t="shared" ref="N127:N133" si="7">J127-L127</f>
        <v>97501578</v>
      </c>
      <c r="O127" s="146" t="s">
        <v>244</v>
      </c>
      <c r="P127" s="322"/>
      <c r="Q127" s="15"/>
      <c r="R127" s="5"/>
    </row>
    <row r="128" spans="1:18" s="4" customFormat="1" ht="129.75" customHeight="1" outlineLevel="1" x14ac:dyDescent="0.25">
      <c r="A128" s="270">
        <v>85</v>
      </c>
      <c r="B128" s="262" t="s">
        <v>245</v>
      </c>
      <c r="C128" s="262" t="s">
        <v>202</v>
      </c>
      <c r="D128" s="251" t="s">
        <v>463</v>
      </c>
      <c r="E128" s="251" t="s">
        <v>441</v>
      </c>
      <c r="F128" s="259" t="s">
        <v>362</v>
      </c>
      <c r="G128" s="259" t="s">
        <v>243</v>
      </c>
      <c r="H128" s="271" t="s">
        <v>2</v>
      </c>
      <c r="I128" s="68">
        <v>76200000</v>
      </c>
      <c r="J128" s="60">
        <v>76200000</v>
      </c>
      <c r="K128" s="264">
        <v>1E-4</v>
      </c>
      <c r="L128" s="60"/>
      <c r="M128" s="60">
        <f>7620+5520</f>
        <v>13140</v>
      </c>
      <c r="N128" s="282">
        <f t="shared" si="7"/>
        <v>76200000</v>
      </c>
      <c r="O128" s="146" t="s">
        <v>246</v>
      </c>
      <c r="P128" s="322"/>
      <c r="Q128" s="15"/>
      <c r="R128" s="5"/>
    </row>
    <row r="129" spans="1:18" s="4" customFormat="1" ht="81" outlineLevel="1" x14ac:dyDescent="0.25">
      <c r="A129" s="270">
        <v>86</v>
      </c>
      <c r="B129" s="262" t="s">
        <v>247</v>
      </c>
      <c r="C129" s="262" t="s">
        <v>202</v>
      </c>
      <c r="D129" s="251" t="s">
        <v>463</v>
      </c>
      <c r="E129" s="251" t="s">
        <v>441</v>
      </c>
      <c r="F129" s="259" t="s">
        <v>362</v>
      </c>
      <c r="G129" s="259" t="s">
        <v>248</v>
      </c>
      <c r="H129" s="271" t="s">
        <v>2</v>
      </c>
      <c r="I129" s="68">
        <v>50613970</v>
      </c>
      <c r="J129" s="60">
        <v>50613970</v>
      </c>
      <c r="K129" s="264">
        <v>1E-4</v>
      </c>
      <c r="L129" s="60"/>
      <c r="M129" s="60">
        <f>8800+8800</f>
        <v>17600</v>
      </c>
      <c r="N129" s="282">
        <f t="shared" si="7"/>
        <v>50613970</v>
      </c>
      <c r="O129" s="146" t="s">
        <v>249</v>
      </c>
      <c r="P129" s="322"/>
      <c r="Q129" s="15"/>
      <c r="R129" s="5"/>
    </row>
    <row r="130" spans="1:18" s="4" customFormat="1" ht="81" outlineLevel="1" x14ac:dyDescent="0.25">
      <c r="A130" s="270">
        <v>87</v>
      </c>
      <c r="B130" s="262" t="s">
        <v>250</v>
      </c>
      <c r="C130" s="262" t="s">
        <v>202</v>
      </c>
      <c r="D130" s="251" t="s">
        <v>463</v>
      </c>
      <c r="E130" s="251" t="s">
        <v>441</v>
      </c>
      <c r="F130" s="259" t="s">
        <v>362</v>
      </c>
      <c r="G130" s="259" t="s">
        <v>251</v>
      </c>
      <c r="H130" s="271" t="s">
        <v>2</v>
      </c>
      <c r="I130" s="68">
        <v>184740000</v>
      </c>
      <c r="J130" s="60">
        <v>184740000</v>
      </c>
      <c r="K130" s="264">
        <v>1E-4</v>
      </c>
      <c r="L130" s="60"/>
      <c r="M130" s="60">
        <f>31700</f>
        <v>31700</v>
      </c>
      <c r="N130" s="282">
        <f t="shared" si="7"/>
        <v>184740000</v>
      </c>
      <c r="O130" s="146" t="s">
        <v>252</v>
      </c>
      <c r="P130" s="322"/>
      <c r="Q130" s="15"/>
      <c r="R130" s="5"/>
    </row>
    <row r="131" spans="1:18" s="4" customFormat="1" ht="81" outlineLevel="1" x14ac:dyDescent="0.25">
      <c r="A131" s="270">
        <v>88</v>
      </c>
      <c r="B131" s="262" t="s">
        <v>253</v>
      </c>
      <c r="C131" s="262" t="s">
        <v>202</v>
      </c>
      <c r="D131" s="251" t="s">
        <v>463</v>
      </c>
      <c r="E131" s="251" t="s">
        <v>441</v>
      </c>
      <c r="F131" s="259" t="s">
        <v>362</v>
      </c>
      <c r="G131" s="259" t="s">
        <v>254</v>
      </c>
      <c r="H131" s="271" t="s">
        <v>2</v>
      </c>
      <c r="I131" s="68">
        <v>219559596</v>
      </c>
      <c r="J131" s="60">
        <v>219559596</v>
      </c>
      <c r="K131" s="264">
        <v>1E-4</v>
      </c>
      <c r="L131" s="60">
        <f>16889200+16889200+185781196</f>
        <v>219559596</v>
      </c>
      <c r="M131" s="60">
        <f>5294+5294+27550+5533+1000</f>
        <v>44671</v>
      </c>
      <c r="N131" s="282">
        <f t="shared" si="7"/>
        <v>0</v>
      </c>
      <c r="O131" s="146" t="s">
        <v>438</v>
      </c>
      <c r="P131" s="322"/>
      <c r="Q131" s="15"/>
      <c r="R131" s="5"/>
    </row>
    <row r="132" spans="1:18" s="4" customFormat="1" ht="81" outlineLevel="1" x14ac:dyDescent="0.25">
      <c r="A132" s="270">
        <v>89</v>
      </c>
      <c r="B132" s="262" t="s">
        <v>255</v>
      </c>
      <c r="C132" s="262" t="s">
        <v>202</v>
      </c>
      <c r="D132" s="251" t="s">
        <v>463</v>
      </c>
      <c r="E132" s="251" t="s">
        <v>441</v>
      </c>
      <c r="F132" s="259" t="s">
        <v>362</v>
      </c>
      <c r="G132" s="259" t="s">
        <v>251</v>
      </c>
      <c r="H132" s="271" t="s">
        <v>2</v>
      </c>
      <c r="I132" s="68">
        <v>29081500</v>
      </c>
      <c r="J132" s="60">
        <v>29081500</v>
      </c>
      <c r="K132" s="264">
        <v>1E-4</v>
      </c>
      <c r="L132" s="60"/>
      <c r="M132" s="60">
        <f>1000+4000+3000+1000</f>
        <v>9000</v>
      </c>
      <c r="N132" s="282">
        <f t="shared" si="7"/>
        <v>29081500</v>
      </c>
      <c r="O132" s="146" t="s">
        <v>256</v>
      </c>
      <c r="P132" s="322"/>
      <c r="Q132" s="15"/>
      <c r="R132" s="5"/>
    </row>
    <row r="133" spans="1:18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463</v>
      </c>
      <c r="E133" s="194" t="s">
        <v>441</v>
      </c>
      <c r="F133" s="74" t="s">
        <v>362</v>
      </c>
      <c r="G133" s="74" t="s">
        <v>258</v>
      </c>
      <c r="H133" s="194" t="s">
        <v>2</v>
      </c>
      <c r="I133" s="307">
        <v>12060940</v>
      </c>
      <c r="J133" s="307">
        <v>12060940</v>
      </c>
      <c r="K133" s="298">
        <v>1E-4</v>
      </c>
      <c r="L133" s="307"/>
      <c r="M133" s="307">
        <v>2170</v>
      </c>
      <c r="N133" s="78">
        <f t="shared" si="7"/>
        <v>12060940</v>
      </c>
      <c r="O133" s="146" t="s">
        <v>259</v>
      </c>
      <c r="P133" s="322"/>
      <c r="Q133" s="15"/>
      <c r="R133" s="5"/>
    </row>
    <row r="134" spans="1:18" s="9" customFormat="1" ht="30" customHeight="1" x14ac:dyDescent="0.25">
      <c r="A134" s="585" t="s">
        <v>437</v>
      </c>
      <c r="B134" s="586"/>
      <c r="C134" s="587"/>
      <c r="D134" s="309"/>
      <c r="E134" s="80"/>
      <c r="F134" s="80"/>
      <c r="G134" s="80"/>
      <c r="H134" s="315" t="s">
        <v>29</v>
      </c>
      <c r="I134" s="56">
        <f>SUMIF($H$113:$H$133,H134,$I$113:$I$133)</f>
        <v>0</v>
      </c>
      <c r="J134" s="14">
        <f>SUMIF($H$103:$H$133,H134,$J$103:$J$133)</f>
        <v>0</v>
      </c>
      <c r="K134" s="14"/>
      <c r="L134" s="14">
        <f>SUMIF($H$113:$H$133,H134,$L$113:$L$133)</f>
        <v>0</v>
      </c>
      <c r="M134" s="14">
        <f>SUMIF($H$103:$H$133,H134,$M$103:$M$133)</f>
        <v>0</v>
      </c>
      <c r="N134" s="14">
        <f>SUMIF($H$103:$H$133,H134,$N$103:$N$133)</f>
        <v>0</v>
      </c>
      <c r="O134" s="147"/>
      <c r="P134" s="325"/>
      <c r="Q134" s="8"/>
      <c r="R134" s="5"/>
    </row>
    <row r="135" spans="1:18" s="9" customFormat="1" ht="27" customHeight="1" x14ac:dyDescent="0.25">
      <c r="A135" s="585"/>
      <c r="B135" s="586"/>
      <c r="C135" s="587"/>
      <c r="D135" s="41"/>
      <c r="E135" s="54"/>
      <c r="F135" s="54"/>
      <c r="G135" s="54"/>
      <c r="H135" s="316" t="s">
        <v>2</v>
      </c>
      <c r="I135" s="11">
        <f>SUMIF($H$113:$H$133,H135,$I$113:$I$133)</f>
        <v>2011462986</v>
      </c>
      <c r="J135" s="11">
        <f>SUMIF($H$113:$H$133,H135,$J$113:$J$133)</f>
        <v>2011462986</v>
      </c>
      <c r="K135" s="11"/>
      <c r="L135" s="11">
        <f>SUMIF($H$113:$H$133,H135,$L$113:$L$133)</f>
        <v>683615324.20000005</v>
      </c>
      <c r="M135" s="11">
        <f>SUMIF($H$113:$H$133,H135,$M$113:$M$133)</f>
        <v>515765.2</v>
      </c>
      <c r="N135" s="11">
        <f>SUMIF($H$113:$H$133,H135,$N$113:$N$133)</f>
        <v>1329177384</v>
      </c>
      <c r="O135" s="148"/>
      <c r="P135" s="318"/>
      <c r="Q135" s="8"/>
      <c r="R135" s="5"/>
    </row>
    <row r="136" spans="1:18" s="9" customFormat="1" ht="28.5" customHeight="1" x14ac:dyDescent="0.25">
      <c r="A136" s="585"/>
      <c r="B136" s="586"/>
      <c r="C136" s="587"/>
      <c r="D136" s="41"/>
      <c r="E136" s="54"/>
      <c r="F136" s="54"/>
      <c r="G136" s="54"/>
      <c r="H136" s="316" t="s">
        <v>51</v>
      </c>
      <c r="I136" s="11">
        <f>SUMIF($H$113:$H$133,H136,$I$113:$I$133)</f>
        <v>0</v>
      </c>
      <c r="J136" s="11">
        <f>SUMIF($H$103:$H$133,H136,$J$103:$J$133)</f>
        <v>0</v>
      </c>
      <c r="K136" s="11"/>
      <c r="L136" s="11">
        <f>SUMIF($H$103:$H$133,H136,$L$103:$L$133)</f>
        <v>0</v>
      </c>
      <c r="M136" s="11">
        <f>SUMIF($H$103:$H$133,H136,$M$103:$M$133)</f>
        <v>0</v>
      </c>
      <c r="N136" s="11">
        <f>SUMIF($H$103:$H$133,H136,$N$103:$N$133)</f>
        <v>0</v>
      </c>
      <c r="O136" s="148"/>
      <c r="P136" s="318"/>
      <c r="Q136" s="8"/>
      <c r="R136" s="5"/>
    </row>
    <row r="137" spans="1:18" s="9" customFormat="1" ht="30" customHeight="1" thickBot="1" x14ac:dyDescent="0.3">
      <c r="A137" s="588"/>
      <c r="B137" s="589"/>
      <c r="C137" s="590"/>
      <c r="D137" s="306"/>
      <c r="E137" s="57"/>
      <c r="F137" s="57"/>
      <c r="G137" s="57"/>
      <c r="H137" s="303" t="s">
        <v>71</v>
      </c>
      <c r="I137" s="12">
        <f>SUMIF($H$113:$H$133,H137,$I$113:$I$133)</f>
        <v>0</v>
      </c>
      <c r="J137" s="12">
        <f>SUMIF($H$103:$H$133,H137,$J$103:$J$133)</f>
        <v>0</v>
      </c>
      <c r="K137" s="12"/>
      <c r="L137" s="12">
        <f>SUMIF($H$103:$H$133,H137,$L$103:$L$133)</f>
        <v>0</v>
      </c>
      <c r="M137" s="12">
        <f>SUMIF($H$103:$H$133,H137,$M$103:$M$133)</f>
        <v>0</v>
      </c>
      <c r="N137" s="12">
        <f>SUMIF($H$103:$H$133,H137,$N$103:$N$133)</f>
        <v>0</v>
      </c>
      <c r="O137" s="150"/>
      <c r="P137" s="320"/>
      <c r="Q137" s="8"/>
      <c r="R137" s="5"/>
    </row>
    <row r="138" spans="1:18" s="9" customFormat="1" ht="15.75" customHeight="1" x14ac:dyDescent="0.25">
      <c r="A138" s="591" t="s">
        <v>260</v>
      </c>
      <c r="B138" s="592"/>
      <c r="C138" s="593"/>
      <c r="D138" s="309"/>
      <c r="E138" s="80"/>
      <c r="F138" s="80"/>
      <c r="G138" s="80"/>
      <c r="H138" s="315" t="s">
        <v>29</v>
      </c>
      <c r="I138" s="14">
        <f t="shared" ref="I138:N141" si="8">I46+I57+I68+I99+I109+I134</f>
        <v>340755742.28000003</v>
      </c>
      <c r="J138" s="14">
        <f t="shared" si="8"/>
        <v>141932627.11000001</v>
      </c>
      <c r="K138" s="14">
        <f t="shared" si="8"/>
        <v>0</v>
      </c>
      <c r="L138" s="14">
        <f t="shared" si="8"/>
        <v>51699993.68992503</v>
      </c>
      <c r="M138" s="14">
        <f t="shared" si="8"/>
        <v>20052671.514026109</v>
      </c>
      <c r="N138" s="14">
        <f t="shared" si="8"/>
        <v>90994201.850074962</v>
      </c>
      <c r="O138" s="152"/>
      <c r="P138" s="325"/>
      <c r="Q138" s="8"/>
      <c r="R138" s="5"/>
    </row>
    <row r="139" spans="1:18" s="9" customFormat="1" ht="17.25" customHeight="1" x14ac:dyDescent="0.25">
      <c r="A139" s="585"/>
      <c r="B139" s="586"/>
      <c r="C139" s="587"/>
      <c r="D139" s="41"/>
      <c r="E139" s="54"/>
      <c r="F139" s="54"/>
      <c r="G139" s="54"/>
      <c r="H139" s="316" t="s">
        <v>2</v>
      </c>
      <c r="I139" s="14">
        <f t="shared" si="8"/>
        <v>175900663940.10001</v>
      </c>
      <c r="J139" s="14">
        <f t="shared" si="8"/>
        <v>195154127444.51001</v>
      </c>
      <c r="K139" s="14">
        <f t="shared" si="8"/>
        <v>0</v>
      </c>
      <c r="L139" s="14">
        <f t="shared" si="8"/>
        <v>94166530444.144714</v>
      </c>
      <c r="M139" s="14">
        <f t="shared" si="8"/>
        <v>48017994782.069481</v>
      </c>
      <c r="N139" s="14">
        <f t="shared" si="8"/>
        <v>100988926722.56526</v>
      </c>
      <c r="O139" s="148"/>
      <c r="P139" s="318"/>
      <c r="Q139" s="8"/>
      <c r="R139" s="5"/>
    </row>
    <row r="140" spans="1:18" s="9" customFormat="1" ht="15" customHeight="1" x14ac:dyDescent="0.25">
      <c r="A140" s="585"/>
      <c r="B140" s="586"/>
      <c r="C140" s="587"/>
      <c r="D140" s="41"/>
      <c r="E140" s="54"/>
      <c r="F140" s="54"/>
      <c r="G140" s="54"/>
      <c r="H140" s="316" t="s">
        <v>51</v>
      </c>
      <c r="I140" s="14">
        <f t="shared" si="8"/>
        <v>481140620.32000005</v>
      </c>
      <c r="J140" s="14">
        <f t="shared" si="8"/>
        <v>361625256.19</v>
      </c>
      <c r="K140" s="14">
        <f t="shared" si="8"/>
        <v>0</v>
      </c>
      <c r="L140" s="14">
        <f t="shared" si="8"/>
        <v>116776712.82872312</v>
      </c>
      <c r="M140" s="14">
        <f t="shared" si="8"/>
        <v>66755406.631516702</v>
      </c>
      <c r="N140" s="14">
        <f t="shared" si="8"/>
        <v>244848543.36127687</v>
      </c>
      <c r="O140" s="148"/>
      <c r="P140" s="318"/>
      <c r="Q140" s="8"/>
      <c r="R140" s="5"/>
    </row>
    <row r="141" spans="1:18" s="9" customFormat="1" ht="25.5" customHeight="1" x14ac:dyDescent="0.25">
      <c r="A141" s="585"/>
      <c r="B141" s="586"/>
      <c r="C141" s="587"/>
      <c r="D141" s="41"/>
      <c r="E141" s="54"/>
      <c r="F141" s="54"/>
      <c r="G141" s="54"/>
      <c r="H141" s="316" t="s">
        <v>71</v>
      </c>
      <c r="I141" s="14">
        <f t="shared" si="8"/>
        <v>31777311969</v>
      </c>
      <c r="J141" s="14">
        <f t="shared" si="8"/>
        <v>31859249643</v>
      </c>
      <c r="K141" s="14">
        <f t="shared" si="8"/>
        <v>0</v>
      </c>
      <c r="L141" s="14">
        <f t="shared" si="8"/>
        <v>12178517548.709158</v>
      </c>
      <c r="M141" s="14">
        <f t="shared" si="8"/>
        <v>3571514171.4328051</v>
      </c>
      <c r="N141" s="14">
        <f t="shared" si="8"/>
        <v>19680732094.29084</v>
      </c>
      <c r="O141" s="149"/>
      <c r="P141" s="319"/>
      <c r="Q141" s="8"/>
      <c r="R141" s="5"/>
    </row>
    <row r="142" spans="1:18" s="9" customFormat="1" ht="15" customHeight="1" thickBot="1" x14ac:dyDescent="0.3">
      <c r="A142" s="588"/>
      <c r="B142" s="589"/>
      <c r="C142" s="590"/>
      <c r="D142" s="306"/>
      <c r="E142" s="57"/>
      <c r="F142" s="57"/>
      <c r="G142" s="57"/>
      <c r="H142" s="316" t="s">
        <v>61</v>
      </c>
      <c r="I142" s="14">
        <f t="shared" ref="I142:N142" si="9">I50</f>
        <v>24086688</v>
      </c>
      <c r="J142" s="14">
        <f t="shared" si="9"/>
        <v>18384172.012149811</v>
      </c>
      <c r="K142" s="14">
        <f t="shared" si="9"/>
        <v>0</v>
      </c>
      <c r="L142" s="14">
        <f t="shared" si="9"/>
        <v>4356879.5040346272</v>
      </c>
      <c r="M142" s="14">
        <f t="shared" si="9"/>
        <v>2915190.8613051148</v>
      </c>
      <c r="N142" s="14">
        <f t="shared" si="9"/>
        <v>14027292.508115182</v>
      </c>
      <c r="O142" s="149"/>
      <c r="P142" s="319"/>
      <c r="Q142" s="8"/>
      <c r="R142" s="5"/>
    </row>
    <row r="143" spans="1:18" ht="51" customHeight="1" thickBot="1" x14ac:dyDescent="0.3">
      <c r="A143" s="81">
        <v>95</v>
      </c>
      <c r="B143" s="82" t="s">
        <v>261</v>
      </c>
      <c r="C143" s="83" t="s">
        <v>262</v>
      </c>
      <c r="D143" s="263" t="s">
        <v>463</v>
      </c>
      <c r="E143" s="263" t="s">
        <v>441</v>
      </c>
      <c r="F143" s="263" t="s">
        <v>363</v>
      </c>
      <c r="G143" s="263" t="s">
        <v>263</v>
      </c>
      <c r="H143" s="83" t="s">
        <v>2</v>
      </c>
      <c r="I143" s="84">
        <f>834800635300+144000000000+32000000000+132000000000+3500000000+14000000000+2900000000+4000000000</f>
        <v>1167200635300</v>
      </c>
      <c r="J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K143" s="102">
        <v>1E-4</v>
      </c>
      <c r="L143" s="85"/>
      <c r="M143" s="85"/>
      <c r="N143" s="86">
        <f>J143-L143</f>
        <v>1161789822801.3999</v>
      </c>
      <c r="O143" s="153" t="s">
        <v>76</v>
      </c>
      <c r="P143" s="326"/>
      <c r="R143" s="9"/>
    </row>
    <row r="144" spans="1:18" ht="17.25" x14ac:dyDescent="0.3">
      <c r="B144" s="87" t="s">
        <v>2</v>
      </c>
      <c r="C144" s="88"/>
      <c r="H144" s="90"/>
      <c r="I144" s="16"/>
      <c r="J144" s="16"/>
      <c r="N144" s="92"/>
      <c r="O144" s="18"/>
      <c r="P144" s="18"/>
    </row>
    <row r="145" spans="2:18" ht="17.25" x14ac:dyDescent="0.3">
      <c r="B145" s="87" t="s">
        <v>51</v>
      </c>
      <c r="C145" s="88">
        <v>388.32</v>
      </c>
      <c r="I145" s="16"/>
      <c r="J145" s="17"/>
      <c r="K145" s="93"/>
      <c r="M145" s="16"/>
      <c r="N145" s="94"/>
      <c r="O145" s="95"/>
      <c r="P145" s="95"/>
    </row>
    <row r="146" spans="2:18" ht="17.25" x14ac:dyDescent="0.3">
      <c r="B146" s="87" t="s">
        <v>71</v>
      </c>
      <c r="C146" s="96">
        <v>2.4750000000000001</v>
      </c>
      <c r="J146" s="16"/>
      <c r="M146" s="16"/>
      <c r="N146" s="154"/>
      <c r="O146" s="97"/>
      <c r="P146" s="97"/>
    </row>
    <row r="147" spans="2:18" ht="17.25" x14ac:dyDescent="0.3">
      <c r="B147" s="87" t="s">
        <v>29</v>
      </c>
      <c r="C147" s="88">
        <v>420.01</v>
      </c>
      <c r="J147" s="17"/>
      <c r="M147" s="16"/>
      <c r="N147" s="17"/>
      <c r="O147" s="97"/>
      <c r="P147" s="97"/>
    </row>
    <row r="148" spans="2:18" ht="17.25" x14ac:dyDescent="0.3">
      <c r="B148" s="87" t="s">
        <v>61</v>
      </c>
      <c r="C148" s="88">
        <v>513.9</v>
      </c>
      <c r="M148" s="18"/>
      <c r="N148" s="16"/>
      <c r="O148" s="5"/>
      <c r="P148" s="5"/>
    </row>
    <row r="149" spans="2:18" x14ac:dyDescent="0.25">
      <c r="O149" s="5"/>
      <c r="P149" s="5"/>
    </row>
    <row r="150" spans="2:18" x14ac:dyDescent="0.25">
      <c r="N150" s="19"/>
    </row>
    <row r="151" spans="2:18" x14ac:dyDescent="0.25">
      <c r="J151" s="154"/>
      <c r="M151" s="16"/>
      <c r="N151" s="154"/>
    </row>
    <row r="152" spans="2:18" x14ac:dyDescent="0.25">
      <c r="N152" s="16"/>
    </row>
    <row r="153" spans="2:18" x14ac:dyDescent="0.25">
      <c r="N153" s="16"/>
    </row>
    <row r="157" spans="2:18" x14ac:dyDescent="0.25">
      <c r="N157" s="16"/>
    </row>
    <row r="158" spans="2:18" s="17" customFormat="1" x14ac:dyDescent="0.25">
      <c r="B158" s="20"/>
      <c r="C158" s="6"/>
      <c r="D158" s="6"/>
      <c r="E158" s="6"/>
      <c r="F158" s="89"/>
      <c r="G158" s="6"/>
      <c r="H158" s="6"/>
      <c r="I158" s="6"/>
      <c r="J158" s="6"/>
      <c r="K158" s="91"/>
      <c r="L158" s="6"/>
      <c r="M158" s="6"/>
      <c r="N158" s="16"/>
      <c r="O158" s="6"/>
      <c r="P158" s="6"/>
      <c r="Q158" s="5"/>
      <c r="R158" s="6"/>
    </row>
    <row r="159" spans="2:18" x14ac:dyDescent="0.25">
      <c r="R159" s="17"/>
    </row>
  </sheetData>
  <protectedRanges>
    <protectedRange password="C670" sqref="O79:P90 A79:I90 A64:P67 A73:I76 J73:P76 J79:N90" name="Maria"/>
    <protectedRange algorithmName="SHA-512" hashValue="R0m7mG/o0t2+7dbQTzM5iQkFX2amgAS+iAGJudQnnweh07e6LDAbSuhvcwbzcp7drP+HIG4d/wHfMCXiBXmkow==" saltValue="hXh6Ce3lteSj/cvmR3BSBw==" spinCount="100000" sqref="A113:M133 O94:P96 O143:P143 O113:P133 A94:M96 A143:M143" name="Narine"/>
    <protectedRange algorithmName="SHA-512" hashValue="/qDn2zoAPl6XveVGTDHZcWIjR6P6fmKMYiOIx92BVGuoQ3TYOXlsDsoiDSLs1D9Ugjb3A3EixLJ11cGk8PSHvw==" saltValue="LV/JN9wntl8CkZ3QpoEkqA==" spinCount="100000" sqref="O96:P98 A61:M62 A96:M98 O61:P62" name="Nara"/>
    <protectedRange algorithmName="SHA-512" hashValue="2hnhy85Hze6pXZTujHMyiGA7lE9yapdzAMEgpTAQUbEvX5wkbgVJAYj8efzABUddHb+HHBXm+QO7FFQ7DdcL0Q==" saltValue="/3Se5MhqYIbXZuII16lL6A==" spinCount="100000" sqref="A103:I108 J103:P108 A72:P72" name="Nona"/>
  </protectedRanges>
  <mergeCells count="102">
    <mergeCell ref="A1:O1"/>
    <mergeCell ref="A2:O2"/>
    <mergeCell ref="A5:A6"/>
    <mergeCell ref="D5:D6"/>
    <mergeCell ref="F5:F6"/>
    <mergeCell ref="A9:A10"/>
    <mergeCell ref="C9:C10"/>
    <mergeCell ref="F9:F10"/>
    <mergeCell ref="G9:G10"/>
    <mergeCell ref="O9:O10"/>
    <mergeCell ref="A11:A12"/>
    <mergeCell ref="C11:C12"/>
    <mergeCell ref="F11:F12"/>
    <mergeCell ref="G11:G12"/>
    <mergeCell ref="O11:O12"/>
    <mergeCell ref="A13:A14"/>
    <mergeCell ref="C13:C14"/>
    <mergeCell ref="F13:F14"/>
    <mergeCell ref="G13:G14"/>
    <mergeCell ref="O13:O14"/>
    <mergeCell ref="A17:A18"/>
    <mergeCell ref="C17:C18"/>
    <mergeCell ref="D17:D18"/>
    <mergeCell ref="F17:F18"/>
    <mergeCell ref="G17:G18"/>
    <mergeCell ref="O17:O18"/>
    <mergeCell ref="A15:A16"/>
    <mergeCell ref="C15:C16"/>
    <mergeCell ref="D15:D16"/>
    <mergeCell ref="F15:F16"/>
    <mergeCell ref="G15:G16"/>
    <mergeCell ref="O15:O16"/>
    <mergeCell ref="A21:A22"/>
    <mergeCell ref="F21:F22"/>
    <mergeCell ref="G21:G22"/>
    <mergeCell ref="O21:O22"/>
    <mergeCell ref="A19:A20"/>
    <mergeCell ref="C19:C22"/>
    <mergeCell ref="D19:D22"/>
    <mergeCell ref="F19:F20"/>
    <mergeCell ref="G19:G20"/>
    <mergeCell ref="O19:O20"/>
    <mergeCell ref="A25:A26"/>
    <mergeCell ref="F25:F26"/>
    <mergeCell ref="G25:G26"/>
    <mergeCell ref="O25:O26"/>
    <mergeCell ref="A23:A24"/>
    <mergeCell ref="C23:C26"/>
    <mergeCell ref="D23:D26"/>
    <mergeCell ref="F23:F24"/>
    <mergeCell ref="G23:G24"/>
    <mergeCell ref="O23:O24"/>
    <mergeCell ref="F31:F32"/>
    <mergeCell ref="G31:G32"/>
    <mergeCell ref="A34:A36"/>
    <mergeCell ref="C34:C36"/>
    <mergeCell ref="D34:D36"/>
    <mergeCell ref="F34:F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O52:O53"/>
    <mergeCell ref="A55:A56"/>
    <mergeCell ref="C55:C56"/>
    <mergeCell ref="O55:O56"/>
    <mergeCell ref="O34:O36"/>
    <mergeCell ref="A42:A43"/>
    <mergeCell ref="C42:C43"/>
    <mergeCell ref="F42:F43"/>
    <mergeCell ref="G42:G43"/>
    <mergeCell ref="O42:O43"/>
    <mergeCell ref="O80:O82"/>
    <mergeCell ref="A85:A86"/>
    <mergeCell ref="B85:B86"/>
    <mergeCell ref="C85:C86"/>
    <mergeCell ref="D85:D86"/>
    <mergeCell ref="F85:F86"/>
    <mergeCell ref="O85:O86"/>
    <mergeCell ref="A57:C60"/>
    <mergeCell ref="A68:C71"/>
    <mergeCell ref="A75:A76"/>
    <mergeCell ref="B75:B76"/>
    <mergeCell ref="C75:C76"/>
    <mergeCell ref="G75:G76"/>
    <mergeCell ref="A134:C137"/>
    <mergeCell ref="A138:C142"/>
    <mergeCell ref="O91:O92"/>
    <mergeCell ref="A99:C102"/>
    <mergeCell ref="C104:C106"/>
    <mergeCell ref="A109:C112"/>
    <mergeCell ref="A91:A92"/>
    <mergeCell ref="B91:B92"/>
    <mergeCell ref="C91:C92"/>
    <mergeCell ref="D91:D92"/>
    <mergeCell ref="F91:F92"/>
    <mergeCell ref="G91:G92"/>
  </mergeCells>
  <conditionalFormatting sqref="J5">
    <cfRule type="cellIs" dxfId="26" priority="5" operator="notEqual">
      <formula>#REF!</formula>
    </cfRule>
  </conditionalFormatting>
  <conditionalFormatting sqref="J93 J6:J33 J35:J44">
    <cfRule type="cellIs" dxfId="25" priority="4" operator="notEqual">
      <formula>#REF!</formula>
    </cfRule>
  </conditionalFormatting>
  <conditionalFormatting sqref="I21">
    <cfRule type="cellIs" dxfId="24" priority="3" operator="notEqual">
      <formula>#REF!</formula>
    </cfRule>
  </conditionalFormatting>
  <conditionalFormatting sqref="J45">
    <cfRule type="cellIs" dxfId="23" priority="2" operator="notEqual">
      <formula>#REF!</formula>
    </cfRule>
  </conditionalFormatting>
  <conditionalFormatting sqref="J78">
    <cfRule type="cellIs" dxfId="22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topLeftCell="A133" zoomScale="95" zoomScaleNormal="95" workbookViewId="0">
      <selection activeCell="A134" sqref="A134:C137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289"/>
    </row>
    <row r="2" spans="1:19" ht="38.25" customHeight="1" x14ac:dyDescent="0.4">
      <c r="A2" s="570" t="s">
        <v>503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290"/>
    </row>
    <row r="3" spans="1:19" ht="33.75" customHeight="1" thickBot="1" x14ac:dyDescent="0.3">
      <c r="A3" s="18"/>
      <c r="C3" s="18"/>
      <c r="D3" s="18"/>
      <c r="E3" s="18"/>
      <c r="F3" s="18"/>
      <c r="G3" s="299"/>
      <c r="H3" s="18"/>
      <c r="I3" s="18"/>
      <c r="J3" s="18"/>
      <c r="K3" s="18"/>
      <c r="L3" s="300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504</v>
      </c>
      <c r="F4" s="24" t="s">
        <v>495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1" t="s">
        <v>496</v>
      </c>
      <c r="R4" s="1"/>
      <c r="S4" s="98"/>
    </row>
    <row r="5" spans="1:19" ht="75" customHeight="1" outlineLevel="1" x14ac:dyDescent="0.25">
      <c r="A5" s="525">
        <v>1</v>
      </c>
      <c r="B5" s="256" t="s">
        <v>25</v>
      </c>
      <c r="C5" s="28" t="s">
        <v>26</v>
      </c>
      <c r="D5" s="258" t="s">
        <v>27</v>
      </c>
      <c r="E5" s="599" t="s">
        <v>505</v>
      </c>
      <c r="F5" s="258" t="s">
        <v>497</v>
      </c>
      <c r="G5" s="599" t="s">
        <v>299</v>
      </c>
      <c r="H5" s="258" t="s">
        <v>28</v>
      </c>
      <c r="I5" s="31" t="s">
        <v>29</v>
      </c>
      <c r="J5" s="268">
        <v>7300000</v>
      </c>
      <c r="K5" s="294">
        <f>5822389.5+13412.1+4470.7+716451.75+24588.85+716451.75+2235.35</f>
        <v>7299999.9999999991</v>
      </c>
      <c r="L5" s="30" t="s">
        <v>30</v>
      </c>
      <c r="M5" s="294">
        <f>595000+119000+119000+119000+119000+119000+119000</f>
        <v>1309000</v>
      </c>
      <c r="N5" s="294">
        <f>652083.5+22907.49</f>
        <v>674990.99</v>
      </c>
      <c r="O5" s="268">
        <f t="shared" ref="O5:O33" si="0">K5-M5</f>
        <v>5990999.9999999991</v>
      </c>
      <c r="P5" s="332" t="s">
        <v>506</v>
      </c>
      <c r="Q5" s="292" t="s">
        <v>498</v>
      </c>
      <c r="S5" s="5"/>
    </row>
    <row r="6" spans="1:19" ht="75.75" customHeight="1" outlineLevel="1" x14ac:dyDescent="0.25">
      <c r="A6" s="533"/>
      <c r="B6" s="271" t="s">
        <v>25</v>
      </c>
      <c r="C6" s="33" t="s">
        <v>32</v>
      </c>
      <c r="D6" s="258" t="s">
        <v>27</v>
      </c>
      <c r="E6" s="600"/>
      <c r="F6" s="276" t="s">
        <v>497</v>
      </c>
      <c r="G6" s="600"/>
      <c r="H6" s="276" t="s">
        <v>33</v>
      </c>
      <c r="I6" s="272" t="s">
        <v>29</v>
      </c>
      <c r="J6" s="294">
        <v>7300000</v>
      </c>
      <c r="K6" s="294">
        <v>7299999.9999999981</v>
      </c>
      <c r="L6" s="278" t="s">
        <v>34</v>
      </c>
      <c r="M6" s="294">
        <f>5474999.9+304166.7+304166.7+304166.7+304166.7+304166.7+304167</f>
        <v>7300000.4000000013</v>
      </c>
      <c r="N6" s="294">
        <f>1226756+8356.16+4154.77</f>
        <v>1239266.93</v>
      </c>
      <c r="O6" s="294">
        <f t="shared" si="0"/>
        <v>-0.40000000316649675</v>
      </c>
      <c r="P6" s="333" t="s">
        <v>35</v>
      </c>
      <c r="Q6" s="204" t="s">
        <v>498</v>
      </c>
      <c r="S6" s="5"/>
    </row>
    <row r="7" spans="1:19" ht="79.5" customHeight="1" outlineLevel="1" x14ac:dyDescent="0.25">
      <c r="A7" s="270">
        <v>2</v>
      </c>
      <c r="B7" s="271" t="s">
        <v>25</v>
      </c>
      <c r="C7" s="271" t="s">
        <v>36</v>
      </c>
      <c r="D7" s="276" t="s">
        <v>27</v>
      </c>
      <c r="E7" s="331" t="s">
        <v>507</v>
      </c>
      <c r="F7" s="276" t="s">
        <v>497</v>
      </c>
      <c r="G7" s="331" t="s">
        <v>300</v>
      </c>
      <c r="H7" s="276" t="s">
        <v>37</v>
      </c>
      <c r="I7" s="272" t="s">
        <v>29</v>
      </c>
      <c r="J7" s="294">
        <v>14060526.73</v>
      </c>
      <c r="K7" s="294">
        <v>14060526.73</v>
      </c>
      <c r="L7" s="293">
        <v>7.4999999999999997E-3</v>
      </c>
      <c r="M7" s="294">
        <f>5858552.73979552+234342.1+234342.1+98055764.9/418.43+98932204.4/422.17+104987604.2/448.01+97345708.3/415.4</f>
        <v>7264605.3397470377</v>
      </c>
      <c r="N7" s="294">
        <f>1294472.69934396+40254.3+39195.3+16095956/418.43+15796672.6/422.17+16433280.1/448.01+14866002.9/415.4</f>
        <v>1522275.409301799</v>
      </c>
      <c r="O7" s="294">
        <f t="shared" si="0"/>
        <v>6795921.3902529627</v>
      </c>
      <c r="P7" s="334" t="s">
        <v>31</v>
      </c>
      <c r="Q7" s="204" t="s">
        <v>498</v>
      </c>
      <c r="S7" s="5"/>
    </row>
    <row r="8" spans="1:19" ht="78.75" customHeight="1" outlineLevel="1" x14ac:dyDescent="0.25">
      <c r="A8" s="270">
        <v>3</v>
      </c>
      <c r="B8" s="271" t="s">
        <v>25</v>
      </c>
      <c r="C8" s="271" t="s">
        <v>38</v>
      </c>
      <c r="D8" s="276" t="s">
        <v>27</v>
      </c>
      <c r="E8" s="276"/>
      <c r="F8" s="276" t="s">
        <v>497</v>
      </c>
      <c r="G8" s="275" t="s">
        <v>301</v>
      </c>
      <c r="H8" s="276" t="s">
        <v>39</v>
      </c>
      <c r="I8" s="272" t="s">
        <v>29</v>
      </c>
      <c r="J8" s="294">
        <v>75000000</v>
      </c>
      <c r="K8" s="294"/>
      <c r="L8" s="293" t="s">
        <v>40</v>
      </c>
      <c r="M8" s="294"/>
      <c r="N8" s="294">
        <f>1932812.5+93750+93750+93750+93750+42000937.5/448.01+38943750/415.4</f>
        <v>2495312.5</v>
      </c>
      <c r="O8" s="294">
        <f t="shared" si="0"/>
        <v>0</v>
      </c>
      <c r="P8" s="140" t="s">
        <v>35</v>
      </c>
      <c r="Q8" s="204" t="s">
        <v>498</v>
      </c>
      <c r="S8" s="5"/>
    </row>
    <row r="9" spans="1:19" ht="81.75" customHeight="1" outlineLevel="1" x14ac:dyDescent="0.25">
      <c r="A9" s="532">
        <v>4</v>
      </c>
      <c r="B9" s="251" t="s">
        <v>25</v>
      </c>
      <c r="C9" s="521" t="s">
        <v>38</v>
      </c>
      <c r="D9" s="276" t="s">
        <v>27</v>
      </c>
      <c r="E9" s="259"/>
      <c r="F9" s="259" t="s">
        <v>497</v>
      </c>
      <c r="G9" s="541" t="s">
        <v>301</v>
      </c>
      <c r="H9" s="531" t="s">
        <v>41</v>
      </c>
      <c r="I9" s="272" t="s">
        <v>29</v>
      </c>
      <c r="J9" s="294">
        <v>10200000</v>
      </c>
      <c r="K9" s="294">
        <f>1075381.69+59500</f>
        <v>1134881.69</v>
      </c>
      <c r="L9" s="264" t="s">
        <v>30</v>
      </c>
      <c r="M9" s="294">
        <v>0</v>
      </c>
      <c r="N9" s="294">
        <f>200690.672577969+15587.2+6522152.1/418.43+6580448.3/422.17+6983221.5/448.01+6474922.9/415.4</f>
        <v>278626.67287819582</v>
      </c>
      <c r="O9" s="294">
        <f>K9-M9</f>
        <v>1134881.69</v>
      </c>
      <c r="P9" s="521" t="s">
        <v>35</v>
      </c>
      <c r="Q9" s="291" t="s">
        <v>498</v>
      </c>
      <c r="S9" s="5"/>
    </row>
    <row r="10" spans="1:19" ht="76.5" customHeight="1" outlineLevel="1" x14ac:dyDescent="0.25">
      <c r="A10" s="533"/>
      <c r="B10" s="251" t="s">
        <v>25</v>
      </c>
      <c r="C10" s="528"/>
      <c r="D10" s="276" t="s">
        <v>463</v>
      </c>
      <c r="E10" s="258"/>
      <c r="F10" s="258" t="s">
        <v>499</v>
      </c>
      <c r="G10" s="542"/>
      <c r="H10" s="530"/>
      <c r="I10" s="272" t="s">
        <v>2</v>
      </c>
      <c r="J10" s="294"/>
      <c r="K10" s="294">
        <v>244081445</v>
      </c>
      <c r="L10" s="264" t="s">
        <v>30</v>
      </c>
      <c r="M10" s="294"/>
      <c r="N10" s="294">
        <f>9774294.3+915305.4+915305.4+915305.4+915305.4</f>
        <v>13435515.900000002</v>
      </c>
      <c r="O10" s="294">
        <f>K10-M10</f>
        <v>244081445</v>
      </c>
      <c r="P10" s="528"/>
      <c r="Q10" s="292" t="s">
        <v>498</v>
      </c>
      <c r="S10" s="5"/>
    </row>
    <row r="11" spans="1:19" ht="76.5" customHeight="1" outlineLevel="1" x14ac:dyDescent="0.25">
      <c r="A11" s="532">
        <v>5</v>
      </c>
      <c r="B11" s="251" t="s">
        <v>25</v>
      </c>
      <c r="C11" s="521" t="s">
        <v>42</v>
      </c>
      <c r="D11" s="276" t="s">
        <v>126</v>
      </c>
      <c r="E11" s="276"/>
      <c r="F11" s="276" t="s">
        <v>497</v>
      </c>
      <c r="G11" s="541" t="s">
        <v>302</v>
      </c>
      <c r="H11" s="531" t="s">
        <v>43</v>
      </c>
      <c r="I11" s="272" t="s">
        <v>29</v>
      </c>
      <c r="J11" s="294">
        <v>10000000</v>
      </c>
      <c r="K11" s="294"/>
      <c r="L11" s="264" t="s">
        <v>44</v>
      </c>
      <c r="M11" s="294"/>
      <c r="N11" s="294">
        <v>50000</v>
      </c>
      <c r="O11" s="294">
        <f>K11-M11</f>
        <v>0</v>
      </c>
      <c r="P11" s="521" t="s">
        <v>45</v>
      </c>
      <c r="Q11" s="291" t="s">
        <v>498</v>
      </c>
      <c r="S11" s="5"/>
    </row>
    <row r="12" spans="1:19" ht="76.5" customHeight="1" outlineLevel="1" x14ac:dyDescent="0.25">
      <c r="A12" s="533"/>
      <c r="B12" s="251" t="s">
        <v>25</v>
      </c>
      <c r="C12" s="528"/>
      <c r="D12" s="276" t="s">
        <v>463</v>
      </c>
      <c r="E12" s="276"/>
      <c r="F12" s="276" t="s">
        <v>499</v>
      </c>
      <c r="G12" s="542"/>
      <c r="H12" s="530"/>
      <c r="I12" s="276" t="s">
        <v>2</v>
      </c>
      <c r="J12" s="294"/>
      <c r="K12" s="294"/>
      <c r="L12" s="264" t="s">
        <v>44</v>
      </c>
      <c r="M12" s="294"/>
      <c r="N12" s="294"/>
      <c r="O12" s="294">
        <f t="shared" si="0"/>
        <v>0</v>
      </c>
      <c r="P12" s="528"/>
      <c r="Q12" s="292" t="s">
        <v>498</v>
      </c>
      <c r="S12" s="5"/>
    </row>
    <row r="13" spans="1:19" ht="76.5" customHeight="1" outlineLevel="1" x14ac:dyDescent="0.25">
      <c r="A13" s="532">
        <v>6</v>
      </c>
      <c r="B13" s="251" t="s">
        <v>25</v>
      </c>
      <c r="C13" s="521" t="s">
        <v>46</v>
      </c>
      <c r="D13" s="276" t="s">
        <v>27</v>
      </c>
      <c r="E13" s="276"/>
      <c r="F13" s="276" t="s">
        <v>497</v>
      </c>
      <c r="G13" s="541" t="s">
        <v>303</v>
      </c>
      <c r="H13" s="531" t="s">
        <v>47</v>
      </c>
      <c r="I13" s="272" t="s">
        <v>29</v>
      </c>
      <c r="J13" s="294">
        <v>83000000</v>
      </c>
      <c r="K13" s="294"/>
      <c r="L13" s="264" t="s">
        <v>464</v>
      </c>
      <c r="M13" s="294"/>
      <c r="N13" s="294">
        <f>1930326.40003794+103750+103750+103750+103750+46481037.5/448.01+43097750/415.4</f>
        <v>2552826.4000379397</v>
      </c>
      <c r="O13" s="294">
        <f t="shared" si="0"/>
        <v>0</v>
      </c>
      <c r="P13" s="521" t="s">
        <v>35</v>
      </c>
      <c r="Q13" s="291" t="s">
        <v>498</v>
      </c>
      <c r="S13" s="5"/>
    </row>
    <row r="14" spans="1:19" ht="76.5" customHeight="1" outlineLevel="1" x14ac:dyDescent="0.25">
      <c r="A14" s="533"/>
      <c r="B14" s="251" t="s">
        <v>25</v>
      </c>
      <c r="C14" s="528"/>
      <c r="D14" s="276" t="s">
        <v>463</v>
      </c>
      <c r="E14" s="276"/>
      <c r="F14" s="276" t="s">
        <v>499</v>
      </c>
      <c r="G14" s="542"/>
      <c r="H14" s="530"/>
      <c r="I14" s="276" t="s">
        <v>2</v>
      </c>
      <c r="J14" s="294"/>
      <c r="K14" s="294"/>
      <c r="L14" s="264" t="s">
        <v>464</v>
      </c>
      <c r="M14" s="294"/>
      <c r="N14" s="294"/>
      <c r="O14" s="294">
        <f t="shared" si="0"/>
        <v>0</v>
      </c>
      <c r="P14" s="528"/>
      <c r="Q14" s="292" t="s">
        <v>498</v>
      </c>
      <c r="R14" s="8"/>
      <c r="S14" s="5"/>
    </row>
    <row r="15" spans="1:19" ht="96.75" customHeight="1" outlineLevel="1" x14ac:dyDescent="0.25">
      <c r="A15" s="532">
        <v>7</v>
      </c>
      <c r="B15" s="251" t="s">
        <v>25</v>
      </c>
      <c r="C15" s="521" t="s">
        <v>48</v>
      </c>
      <c r="D15" s="531" t="s">
        <v>49</v>
      </c>
      <c r="E15" s="259"/>
      <c r="F15" s="276" t="s">
        <v>497</v>
      </c>
      <c r="G15" s="541" t="s">
        <v>304</v>
      </c>
      <c r="H15" s="531" t="s">
        <v>50</v>
      </c>
      <c r="I15" s="272" t="s">
        <v>51</v>
      </c>
      <c r="J15" s="294">
        <f>35500000-1434414.8</f>
        <v>34065585.200000003</v>
      </c>
      <c r="K15" s="294">
        <v>34065585.200000003</v>
      </c>
      <c r="L15" s="285" t="s">
        <v>367</v>
      </c>
      <c r="M15" s="294">
        <f>3406558.5+438685248.4/386.33+457603003.3/402.99+440229555/387.69</f>
        <v>6813117.0000130683</v>
      </c>
      <c r="N15" s="294">
        <f>6927866.15+372600334/386.33+433310604.9/402.99+419066992.3/387.69</f>
        <v>10048499.749881966</v>
      </c>
      <c r="O15" s="294">
        <f t="shared" si="0"/>
        <v>27252468.199986935</v>
      </c>
      <c r="P15" s="521" t="s">
        <v>52</v>
      </c>
      <c r="Q15" s="291" t="s">
        <v>498</v>
      </c>
      <c r="R15" s="8"/>
      <c r="S15" s="5"/>
    </row>
    <row r="16" spans="1:19" ht="81.75" customHeight="1" outlineLevel="1" x14ac:dyDescent="0.25">
      <c r="A16" s="533"/>
      <c r="B16" s="251" t="s">
        <v>25</v>
      </c>
      <c r="C16" s="528"/>
      <c r="D16" s="530"/>
      <c r="E16" s="258"/>
      <c r="F16" s="276" t="s">
        <v>499</v>
      </c>
      <c r="G16" s="542"/>
      <c r="H16" s="530"/>
      <c r="I16" s="276" t="s">
        <v>2</v>
      </c>
      <c r="J16" s="294"/>
      <c r="K16" s="294">
        <v>3680136115.8000002</v>
      </c>
      <c r="L16" s="285" t="s">
        <v>367</v>
      </c>
      <c r="M16" s="294">
        <f>387003402.1+121967878.3+121967878.3+121967878.3</f>
        <v>752907037</v>
      </c>
      <c r="N16" s="294">
        <f>743758864.24+103594252.5+115493072.7+116104685.6</f>
        <v>1078950875.04</v>
      </c>
      <c r="O16" s="294">
        <f t="shared" si="0"/>
        <v>2927229078.8000002</v>
      </c>
      <c r="P16" s="528"/>
      <c r="Q16" s="292" t="s">
        <v>498</v>
      </c>
      <c r="R16" s="8"/>
      <c r="S16" s="5"/>
    </row>
    <row r="17" spans="1:18" s="5" customFormat="1" ht="66.75" customHeight="1" outlineLevel="1" x14ac:dyDescent="0.25">
      <c r="A17" s="532">
        <v>8</v>
      </c>
      <c r="B17" s="251" t="s">
        <v>25</v>
      </c>
      <c r="C17" s="521" t="s">
        <v>53</v>
      </c>
      <c r="D17" s="531" t="s">
        <v>49</v>
      </c>
      <c r="E17" s="259"/>
      <c r="F17" s="276" t="s">
        <v>497</v>
      </c>
      <c r="G17" s="541" t="s">
        <v>305</v>
      </c>
      <c r="H17" s="541" t="s">
        <v>54</v>
      </c>
      <c r="I17" s="272" t="s">
        <v>51</v>
      </c>
      <c r="J17" s="34">
        <f>40000000-2500000-1500000</f>
        <v>36000000</v>
      </c>
      <c r="K17" s="294">
        <v>25459684.080000002</v>
      </c>
      <c r="L17" s="293" t="s">
        <v>367</v>
      </c>
      <c r="M17" s="294">
        <v>0</v>
      </c>
      <c r="N17" s="294">
        <f>4091306.45123489+373977422.6/403.57</f>
        <v>5017979.4512101114</v>
      </c>
      <c r="O17" s="294">
        <f t="shared" si="0"/>
        <v>25459684.080000002</v>
      </c>
      <c r="P17" s="521" t="s">
        <v>52</v>
      </c>
      <c r="Q17" s="291" t="s">
        <v>498</v>
      </c>
      <c r="R17" s="8"/>
    </row>
    <row r="18" spans="1:18" s="5" customFormat="1" ht="58.5" customHeight="1" outlineLevel="1" x14ac:dyDescent="0.25">
      <c r="A18" s="533"/>
      <c r="B18" s="251" t="s">
        <v>25</v>
      </c>
      <c r="C18" s="528"/>
      <c r="D18" s="530"/>
      <c r="E18" s="258"/>
      <c r="F18" s="276" t="s">
        <v>499</v>
      </c>
      <c r="G18" s="542"/>
      <c r="H18" s="542"/>
      <c r="I18" s="276" t="s">
        <v>2</v>
      </c>
      <c r="J18" s="34"/>
      <c r="K18" s="294">
        <v>1298916975.1000001</v>
      </c>
      <c r="L18" s="293" t="s">
        <v>367</v>
      </c>
      <c r="M18" s="294">
        <v>563212.19999999995</v>
      </c>
      <c r="N18" s="294">
        <f>165583419.3+41681454.8</f>
        <v>207264874.10000002</v>
      </c>
      <c r="O18" s="294">
        <f t="shared" si="0"/>
        <v>1298353762.9000001</v>
      </c>
      <c r="P18" s="528"/>
      <c r="Q18" s="292" t="s">
        <v>498</v>
      </c>
      <c r="R18" s="8"/>
    </row>
    <row r="19" spans="1:18" s="5" customFormat="1" ht="70.5" customHeight="1" outlineLevel="1" x14ac:dyDescent="0.25">
      <c r="A19" s="532">
        <v>9</v>
      </c>
      <c r="B19" s="262" t="s">
        <v>25</v>
      </c>
      <c r="C19" s="521" t="s">
        <v>55</v>
      </c>
      <c r="D19" s="531" t="s">
        <v>49</v>
      </c>
      <c r="E19" s="595" t="s">
        <v>508</v>
      </c>
      <c r="F19" s="276" t="s">
        <v>497</v>
      </c>
      <c r="G19" s="598" t="s">
        <v>306</v>
      </c>
      <c r="H19" s="541" t="s">
        <v>56</v>
      </c>
      <c r="I19" s="272" t="s">
        <v>51</v>
      </c>
      <c r="J19" s="34">
        <v>23194486</v>
      </c>
      <c r="K19" s="294">
        <v>16165176.98</v>
      </c>
      <c r="L19" s="264" t="s">
        <v>367</v>
      </c>
      <c r="M19" s="294">
        <v>0</v>
      </c>
      <c r="N19" s="294">
        <f>1316813.632+122778919.2/386.33+153358408.7/402.99+182294474.3/387.69</f>
        <v>2485380.2321278523</v>
      </c>
      <c r="O19" s="294">
        <f t="shared" si="0"/>
        <v>16165176.98</v>
      </c>
      <c r="P19" s="521" t="s">
        <v>52</v>
      </c>
      <c r="Q19" s="204" t="s">
        <v>498</v>
      </c>
      <c r="R19" s="8"/>
    </row>
    <row r="20" spans="1:18" s="5" customFormat="1" ht="66.75" customHeight="1" outlineLevel="1" x14ac:dyDescent="0.25">
      <c r="A20" s="533"/>
      <c r="B20" s="262" t="s">
        <v>25</v>
      </c>
      <c r="C20" s="522"/>
      <c r="D20" s="529"/>
      <c r="E20" s="596"/>
      <c r="F20" s="276" t="s">
        <v>499</v>
      </c>
      <c r="G20" s="599"/>
      <c r="H20" s="542"/>
      <c r="I20" s="276" t="s">
        <v>2</v>
      </c>
      <c r="J20" s="34"/>
      <c r="K20" s="294">
        <f>1715005397.1+206000000</f>
        <v>1921005397.0999999</v>
      </c>
      <c r="L20" s="264" t="s">
        <v>367</v>
      </c>
      <c r="M20" s="294">
        <v>91463799.799999997</v>
      </c>
      <c r="N20" s="294">
        <f>119885553.7+36155098.5+43333756.7+53344969.4</f>
        <v>252719378.29999998</v>
      </c>
      <c r="O20" s="294">
        <f t="shared" si="0"/>
        <v>1829541597.3</v>
      </c>
      <c r="P20" s="528"/>
      <c r="Q20" s="204" t="s">
        <v>498</v>
      </c>
      <c r="R20" s="8"/>
    </row>
    <row r="21" spans="1:18" s="5" customFormat="1" ht="48" customHeight="1" outlineLevel="1" x14ac:dyDescent="0.25">
      <c r="A21" s="532">
        <v>10</v>
      </c>
      <c r="B21" s="262" t="s">
        <v>57</v>
      </c>
      <c r="C21" s="522"/>
      <c r="D21" s="529"/>
      <c r="E21" s="596"/>
      <c r="F21" s="276" t="s">
        <v>497</v>
      </c>
      <c r="G21" s="541" t="s">
        <v>307</v>
      </c>
      <c r="H21" s="541" t="s">
        <v>56</v>
      </c>
      <c r="I21" s="272" t="s">
        <v>51</v>
      </c>
      <c r="J21" s="294">
        <v>16662617.070000002</v>
      </c>
      <c r="K21" s="294">
        <v>16662617.070000002</v>
      </c>
      <c r="L21" s="264" t="s">
        <v>367</v>
      </c>
      <c r="M21" s="294"/>
      <c r="N21" s="294">
        <f>2194958+182027405/386.38+218562808/403.19+223111756.9/387.69</f>
        <v>3783641.8022023076</v>
      </c>
      <c r="O21" s="294">
        <f t="shared" si="0"/>
        <v>16662617.070000002</v>
      </c>
      <c r="P21" s="521" t="s">
        <v>52</v>
      </c>
      <c r="Q21" s="291" t="s">
        <v>498</v>
      </c>
      <c r="R21" s="8"/>
    </row>
    <row r="22" spans="1:18" s="5" customFormat="1" ht="54.75" customHeight="1" outlineLevel="1" x14ac:dyDescent="0.25">
      <c r="A22" s="533"/>
      <c r="B22" s="262" t="s">
        <v>57</v>
      </c>
      <c r="C22" s="528"/>
      <c r="D22" s="530"/>
      <c r="E22" s="597"/>
      <c r="F22" s="276" t="s">
        <v>499</v>
      </c>
      <c r="G22" s="542"/>
      <c r="H22" s="542"/>
      <c r="I22" s="272" t="s">
        <v>2</v>
      </c>
      <c r="J22" s="9"/>
      <c r="K22" s="294">
        <v>2003005775.2</v>
      </c>
      <c r="L22" s="264" t="s">
        <v>367</v>
      </c>
      <c r="M22" s="294"/>
      <c r="N22" s="294">
        <f>238604865.8+56631905+65163658.9+69156989.1</f>
        <v>429557418.79999995</v>
      </c>
      <c r="O22" s="294">
        <f t="shared" si="0"/>
        <v>2003005775.2</v>
      </c>
      <c r="P22" s="528"/>
      <c r="Q22" s="292" t="s">
        <v>498</v>
      </c>
      <c r="R22" s="8"/>
    </row>
    <row r="23" spans="1:18" s="5" customFormat="1" ht="57.75" customHeight="1" outlineLevel="1" x14ac:dyDescent="0.25">
      <c r="A23" s="532">
        <v>11</v>
      </c>
      <c r="B23" s="262" t="s">
        <v>25</v>
      </c>
      <c r="C23" s="521" t="s">
        <v>58</v>
      </c>
      <c r="D23" s="531" t="s">
        <v>59</v>
      </c>
      <c r="E23" s="259"/>
      <c r="F23" s="276" t="s">
        <v>497</v>
      </c>
      <c r="G23" s="541" t="s">
        <v>305</v>
      </c>
      <c r="H23" s="531" t="s">
        <v>60</v>
      </c>
      <c r="I23" s="272" t="s">
        <v>61</v>
      </c>
      <c r="J23" s="36">
        <v>13988153</v>
      </c>
      <c r="K23" s="294">
        <v>8262785.6411363389</v>
      </c>
      <c r="L23" s="264">
        <v>3.1399999999999997E-2</v>
      </c>
      <c r="M23" s="294">
        <f>1430873.60020494+107795234.9/520.68+109739226/530.07+105995907.4/511.99</f>
        <v>2051956.5004417119</v>
      </c>
      <c r="N23" s="294">
        <f>1219413.93+55848657.5/520.68+55104222/530.07+51579050.2/511.99</f>
        <v>1531373.7301682285</v>
      </c>
      <c r="O23" s="294">
        <f t="shared" si="0"/>
        <v>6210829.1406946275</v>
      </c>
      <c r="P23" s="521" t="s">
        <v>52</v>
      </c>
      <c r="Q23" s="291" t="s">
        <v>498</v>
      </c>
      <c r="R23" s="8"/>
    </row>
    <row r="24" spans="1:18" s="5" customFormat="1" ht="59.25" customHeight="1" outlineLevel="1" x14ac:dyDescent="0.25">
      <c r="A24" s="533"/>
      <c r="B24" s="262" t="s">
        <v>25</v>
      </c>
      <c r="C24" s="522"/>
      <c r="D24" s="529"/>
      <c r="E24" s="257"/>
      <c r="F24" s="276" t="s">
        <v>499</v>
      </c>
      <c r="G24" s="542"/>
      <c r="H24" s="530"/>
      <c r="I24" s="276" t="s">
        <v>2</v>
      </c>
      <c r="J24" s="37"/>
      <c r="K24" s="294">
        <v>1194787815</v>
      </c>
      <c r="L24" s="264">
        <v>3.1399999999999997E-2</v>
      </c>
      <c r="M24" s="294">
        <f>209123295.3+29868621.8+29868621.8+29868621.8</f>
        <v>298729160.70000005</v>
      </c>
      <c r="N24" s="294">
        <f>177460224.6+15474933+14998180+14534453</f>
        <v>222467790.59999999</v>
      </c>
      <c r="O24" s="294">
        <f t="shared" si="0"/>
        <v>896058654.29999995</v>
      </c>
      <c r="P24" s="528"/>
      <c r="Q24" s="292" t="s">
        <v>498</v>
      </c>
      <c r="R24" s="8"/>
    </row>
    <row r="25" spans="1:18" s="5" customFormat="1" ht="51.75" customHeight="1" outlineLevel="1" x14ac:dyDescent="0.25">
      <c r="A25" s="532">
        <v>12</v>
      </c>
      <c r="B25" s="262" t="s">
        <v>62</v>
      </c>
      <c r="C25" s="522"/>
      <c r="D25" s="529"/>
      <c r="E25" s="257"/>
      <c r="F25" s="276" t="s">
        <v>497</v>
      </c>
      <c r="G25" s="541" t="s">
        <v>308</v>
      </c>
      <c r="H25" s="531" t="s">
        <v>60</v>
      </c>
      <c r="I25" s="272" t="s">
        <v>61</v>
      </c>
      <c r="J25" s="36">
        <v>10098535</v>
      </c>
      <c r="K25" s="294">
        <v>10121386.37101347</v>
      </c>
      <c r="L25" s="264">
        <v>3.1399999999999997E-2</v>
      </c>
      <c r="M25" s="294">
        <f>1520990.1+136750579/520.29+138244588/530.59+133398381/511.99</f>
        <v>2304923.0035929154</v>
      </c>
      <c r="N25" s="294">
        <f>832426.027338+83294453/525+70252782/520.29+69454072/530.59+64924992/511.99</f>
        <v>1383817.1311368861</v>
      </c>
      <c r="O25" s="294">
        <f t="shared" si="0"/>
        <v>7816463.3674205542</v>
      </c>
      <c r="P25" s="521" t="s">
        <v>52</v>
      </c>
      <c r="Q25" s="291" t="s">
        <v>498</v>
      </c>
      <c r="R25" s="8"/>
    </row>
    <row r="26" spans="1:18" s="5" customFormat="1" ht="47.25" customHeight="1" outlineLevel="1" x14ac:dyDescent="0.25">
      <c r="A26" s="533"/>
      <c r="B26" s="262" t="s">
        <v>62</v>
      </c>
      <c r="C26" s="528"/>
      <c r="D26" s="530"/>
      <c r="E26" s="258"/>
      <c r="F26" s="276" t="s">
        <v>499</v>
      </c>
      <c r="G26" s="542"/>
      <c r="H26" s="530"/>
      <c r="I26" s="276" t="s">
        <v>2</v>
      </c>
      <c r="J26" s="37"/>
      <c r="K26" s="294">
        <v>794162455.89999998</v>
      </c>
      <c r="L26" s="264">
        <v>3.1399999999999997E-2</v>
      </c>
      <c r="M26" s="294">
        <f>123592049.7+20623615+20310837+20310837</f>
        <v>184837338.69999999</v>
      </c>
      <c r="N26" s="294">
        <f>78534680.8+10527955+10204165+9885285</f>
        <v>109152085.8</v>
      </c>
      <c r="O26" s="294">
        <f t="shared" si="0"/>
        <v>609325117.20000005</v>
      </c>
      <c r="P26" s="528"/>
      <c r="Q26" s="292" t="s">
        <v>498</v>
      </c>
      <c r="R26" s="8"/>
    </row>
    <row r="27" spans="1:18" s="5" customFormat="1" ht="48" customHeight="1" outlineLevel="1" x14ac:dyDescent="0.25">
      <c r="A27" s="270">
        <v>13</v>
      </c>
      <c r="B27" s="277" t="s">
        <v>25</v>
      </c>
      <c r="C27" s="521" t="s">
        <v>63</v>
      </c>
      <c r="D27" s="531" t="s">
        <v>64</v>
      </c>
      <c r="E27" s="259"/>
      <c r="F27" s="276" t="s">
        <v>497</v>
      </c>
      <c r="G27" s="275" t="s">
        <v>309</v>
      </c>
      <c r="H27" s="276" t="s">
        <v>65</v>
      </c>
      <c r="I27" s="272" t="s">
        <v>51</v>
      </c>
      <c r="J27" s="294">
        <v>19600000</v>
      </c>
      <c r="K27" s="294">
        <v>19419334.870000001</v>
      </c>
      <c r="L27" s="295">
        <v>5.0000000000000001E-3</v>
      </c>
      <c r="M27" s="294">
        <f>9716960.66852489+189584407.5/488.5+172026989.7/443.26+153375144/395.2+150045288.9/386.62+156421689.8/403.05+150324717.3/387.34</f>
        <v>12045530.668648943</v>
      </c>
      <c r="N27" s="294">
        <f>1129921.93024286+16077756.3/488.5+14096288.6/443.26+12233850.7/395.2+11546870.2/386.62+11574265.9/403.05+10860006.5/387.34</f>
        <v>1312212.2301338713</v>
      </c>
      <c r="O27" s="294">
        <f t="shared" si="0"/>
        <v>7373804.2013510577</v>
      </c>
      <c r="P27" s="140" t="s">
        <v>52</v>
      </c>
      <c r="Q27" s="204" t="s">
        <v>498</v>
      </c>
      <c r="R27" s="8"/>
    </row>
    <row r="28" spans="1:18" s="5" customFormat="1" ht="60" customHeight="1" outlineLevel="1" x14ac:dyDescent="0.25">
      <c r="A28" s="270">
        <v>14</v>
      </c>
      <c r="B28" s="277" t="s">
        <v>62</v>
      </c>
      <c r="C28" s="528"/>
      <c r="D28" s="530"/>
      <c r="E28" s="258"/>
      <c r="F28" s="276" t="s">
        <v>497</v>
      </c>
      <c r="G28" s="275" t="s">
        <v>310</v>
      </c>
      <c r="H28" s="276" t="s">
        <v>66</v>
      </c>
      <c r="I28" s="272" t="s">
        <v>51</v>
      </c>
      <c r="J28" s="294">
        <v>297276.53999999998</v>
      </c>
      <c r="K28" s="294">
        <v>297276.53999999998</v>
      </c>
      <c r="L28" s="293" t="s">
        <v>67</v>
      </c>
      <c r="M28" s="294">
        <f>257638.543537781+4361667/440.15+3916234/395.2+3837157/387.22+3994520/403.1</f>
        <v>297276.54625526333</v>
      </c>
      <c r="N28" s="294">
        <f>229541.53251276+1912186/489.99+1556591/440.15+1259898/395.2+1094284/387.22+991707/403.1</f>
        <v>245454.73643449965</v>
      </c>
      <c r="O28" s="294">
        <f t="shared" si="0"/>
        <v>-6.255263346247375E-3</v>
      </c>
      <c r="P28" s="140" t="s">
        <v>52</v>
      </c>
      <c r="Q28" s="204" t="s">
        <v>498</v>
      </c>
      <c r="R28" s="8"/>
    </row>
    <row r="29" spans="1:18" s="5" customFormat="1" ht="51" customHeight="1" outlineLevel="1" x14ac:dyDescent="0.25">
      <c r="A29" s="270">
        <v>15</v>
      </c>
      <c r="B29" s="277" t="s">
        <v>62</v>
      </c>
      <c r="C29" s="534" t="s">
        <v>68</v>
      </c>
      <c r="D29" s="531" t="s">
        <v>69</v>
      </c>
      <c r="E29" s="259"/>
      <c r="F29" s="276" t="s">
        <v>497</v>
      </c>
      <c r="G29" s="275" t="s">
        <v>311</v>
      </c>
      <c r="H29" s="276" t="s">
        <v>70</v>
      </c>
      <c r="I29" s="276" t="s">
        <v>71</v>
      </c>
      <c r="J29" s="294">
        <v>1571940173.3299999</v>
      </c>
      <c r="K29" s="294">
        <v>1598519063</v>
      </c>
      <c r="L29" s="295">
        <v>1.7999999999999999E-2</v>
      </c>
      <c r="M29" s="294">
        <f>1030178646.5+123394332/3.026+109815247/2.693+110426917/2.708</f>
        <v>1152512749.7454691</v>
      </c>
      <c r="N29" s="294">
        <f>226837831.925937+13873556/3.026+11211247/2.693+10505503/2.708</f>
        <v>239465155.16541752</v>
      </c>
      <c r="O29" s="294">
        <f t="shared" si="0"/>
        <v>446006313.25453091</v>
      </c>
      <c r="P29" s="140" t="s">
        <v>52</v>
      </c>
      <c r="Q29" s="204" t="s">
        <v>498</v>
      </c>
      <c r="R29" s="8"/>
    </row>
    <row r="30" spans="1:18" s="5" customFormat="1" ht="41.25" customHeight="1" outlineLevel="1" x14ac:dyDescent="0.25">
      <c r="A30" s="270">
        <v>16</v>
      </c>
      <c r="B30" s="271" t="s">
        <v>72</v>
      </c>
      <c r="C30" s="527"/>
      <c r="D30" s="530"/>
      <c r="E30" s="258"/>
      <c r="F30" s="276" t="s">
        <v>497</v>
      </c>
      <c r="G30" s="275" t="s">
        <v>312</v>
      </c>
      <c r="H30" s="276" t="s">
        <v>70</v>
      </c>
      <c r="I30" s="276" t="s">
        <v>71</v>
      </c>
      <c r="J30" s="294">
        <v>3796371795.6700001</v>
      </c>
      <c r="K30" s="294">
        <v>3861444249</v>
      </c>
      <c r="L30" s="295">
        <v>1.7999999999999999E-2</v>
      </c>
      <c r="M30" s="294">
        <f>2513837447.56+291897058.6/3.026+259774877.3/2.693+261800600/2.714</f>
        <v>2803226467.7953391</v>
      </c>
      <c r="N30" s="294">
        <f>553224853.256799+32762341/3.026+26475306.9/2.693+24863667/2.714</f>
        <v>583044220.17120647</v>
      </c>
      <c r="O30" s="294">
        <f t="shared" si="0"/>
        <v>1058217781.2046609</v>
      </c>
      <c r="P30" s="140" t="s">
        <v>52</v>
      </c>
      <c r="Q30" s="204" t="s">
        <v>498</v>
      </c>
      <c r="R30" s="8"/>
    </row>
    <row r="31" spans="1:18" s="5" customFormat="1" ht="69" customHeight="1" outlineLevel="1" x14ac:dyDescent="0.25">
      <c r="A31" s="532">
        <v>17</v>
      </c>
      <c r="B31" s="277" t="s">
        <v>73</v>
      </c>
      <c r="C31" s="521" t="s">
        <v>74</v>
      </c>
      <c r="D31" s="531" t="s">
        <v>64</v>
      </c>
      <c r="E31" s="259"/>
      <c r="F31" s="276" t="s">
        <v>497</v>
      </c>
      <c r="G31" s="541" t="s">
        <v>313</v>
      </c>
      <c r="H31" s="531" t="s">
        <v>75</v>
      </c>
      <c r="I31" s="272" t="s">
        <v>51</v>
      </c>
      <c r="J31" s="294">
        <v>4846628.13</v>
      </c>
      <c r="K31" s="294">
        <v>4737831.22</v>
      </c>
      <c r="L31" s="293">
        <v>7.4999999999999997E-3</v>
      </c>
      <c r="M31" s="294">
        <f>616176.07+18729201/386.44+19508050/402.51+18791723/387.73</f>
        <v>761574.0728560643</v>
      </c>
      <c r="N31" s="294">
        <f>353441.51+5923430/386.44+6198654/402.51+5835491.6/387.73</f>
        <v>399220.11103502067</v>
      </c>
      <c r="O31" s="294">
        <f t="shared" si="0"/>
        <v>3976257.1471439353</v>
      </c>
      <c r="P31" s="140" t="s">
        <v>76</v>
      </c>
      <c r="Q31" s="204" t="s">
        <v>498</v>
      </c>
      <c r="R31" s="8"/>
    </row>
    <row r="32" spans="1:18" s="5" customFormat="1" ht="69" customHeight="1" outlineLevel="1" x14ac:dyDescent="0.25">
      <c r="A32" s="533"/>
      <c r="B32" s="277" t="s">
        <v>73</v>
      </c>
      <c r="C32" s="528"/>
      <c r="D32" s="530"/>
      <c r="E32" s="258"/>
      <c r="F32" s="276" t="s">
        <v>499</v>
      </c>
      <c r="G32" s="542"/>
      <c r="H32" s="530"/>
      <c r="I32" s="276" t="s">
        <v>2</v>
      </c>
      <c r="J32" s="294">
        <v>1740568345.9000001</v>
      </c>
      <c r="K32" s="294">
        <v>1740568345.9000001</v>
      </c>
      <c r="L32" s="293">
        <v>7.4999999999999997E-3</v>
      </c>
      <c r="M32" s="294">
        <f>247100359+17402579+17402579+17402579</f>
        <v>299308096</v>
      </c>
      <c r="N32" s="294">
        <f>128165336.87+5554115.8+5580740.4+5454641.8</f>
        <v>144754834.87</v>
      </c>
      <c r="O32" s="294">
        <f t="shared" si="0"/>
        <v>1441260249.9000001</v>
      </c>
      <c r="P32" s="140" t="s">
        <v>76</v>
      </c>
      <c r="Q32" s="204" t="s">
        <v>498</v>
      </c>
      <c r="R32" s="8"/>
    </row>
    <row r="33" spans="1:19" ht="87" customHeight="1" outlineLevel="1" x14ac:dyDescent="0.25">
      <c r="A33" s="270">
        <v>18</v>
      </c>
      <c r="B33" s="277" t="s">
        <v>77</v>
      </c>
      <c r="C33" s="271" t="s">
        <v>78</v>
      </c>
      <c r="D33" s="276" t="s">
        <v>27</v>
      </c>
      <c r="E33" s="276"/>
      <c r="F33" s="276" t="s">
        <v>497</v>
      </c>
      <c r="G33" s="275" t="s">
        <v>314</v>
      </c>
      <c r="H33" s="275" t="s">
        <v>79</v>
      </c>
      <c r="I33" s="272" t="s">
        <v>29</v>
      </c>
      <c r="J33" s="39">
        <v>17895215.550000001</v>
      </c>
      <c r="K33" s="294">
        <v>17895215.550000001</v>
      </c>
      <c r="L33" s="293">
        <v>7.4999999999999997E-3</v>
      </c>
      <c r="M33" s="294">
        <f>7748628.1+130294835.3/415.04+137735052.2/438.74+131942984.6/420.29</f>
        <v>8690427.6999388505</v>
      </c>
      <c r="N33" s="294">
        <f>2568161.28+12471869/415.04+3320320/414.34+16171473.8/438.74+15002335.6/420.29</f>
        <v>2678778.6955025364</v>
      </c>
      <c r="O33" s="294">
        <f t="shared" si="0"/>
        <v>9204787.8500611503</v>
      </c>
      <c r="P33" s="140" t="s">
        <v>52</v>
      </c>
      <c r="Q33" s="204" t="s">
        <v>498</v>
      </c>
      <c r="R33" s="8"/>
      <c r="S33" s="5"/>
    </row>
    <row r="34" spans="1:19" ht="55.5" customHeight="1" outlineLevel="1" x14ac:dyDescent="0.25">
      <c r="A34" s="532">
        <v>19</v>
      </c>
      <c r="B34" s="262" t="s">
        <v>80</v>
      </c>
      <c r="C34" s="521" t="s">
        <v>81</v>
      </c>
      <c r="D34" s="521" t="s">
        <v>277</v>
      </c>
      <c r="E34" s="251"/>
      <c r="F34" s="271" t="s">
        <v>497</v>
      </c>
      <c r="G34" s="521" t="s">
        <v>315</v>
      </c>
      <c r="H34" s="271" t="s">
        <v>82</v>
      </c>
      <c r="I34" s="272" t="s">
        <v>29</v>
      </c>
      <c r="J34" s="42">
        <v>22000000</v>
      </c>
      <c r="K34" s="294">
        <v>21247150.510000002</v>
      </c>
      <c r="L34" s="274" t="s">
        <v>83</v>
      </c>
      <c r="M34" s="294">
        <f>1047000+1047000+1047000+1047000+1047000+1047000+1047000</f>
        <v>7329000</v>
      </c>
      <c r="N34" s="294">
        <v>2375876.2999999998</v>
      </c>
      <c r="O34" s="294">
        <f>J34-M34</f>
        <v>14671000</v>
      </c>
      <c r="P34" s="521" t="s">
        <v>439</v>
      </c>
      <c r="Q34" s="291" t="s">
        <v>498</v>
      </c>
      <c r="R34" s="8"/>
      <c r="S34" s="5"/>
    </row>
    <row r="35" spans="1:19" ht="68.25" customHeight="1" outlineLevel="1" x14ac:dyDescent="0.25">
      <c r="A35" s="525"/>
      <c r="B35" s="262" t="s">
        <v>80</v>
      </c>
      <c r="C35" s="522"/>
      <c r="D35" s="522"/>
      <c r="E35" s="252"/>
      <c r="F35" s="271" t="s">
        <v>497</v>
      </c>
      <c r="G35" s="522"/>
      <c r="H35" s="271" t="s">
        <v>85</v>
      </c>
      <c r="I35" s="272" t="s">
        <v>29</v>
      </c>
      <c r="J35" s="42">
        <v>14500000</v>
      </c>
      <c r="K35" s="294">
        <v>14491281.059999999</v>
      </c>
      <c r="L35" s="274" t="s">
        <v>30</v>
      </c>
      <c r="M35" s="294">
        <f>241000+241000+241000+241000+241000+241000+241000</f>
        <v>1687000</v>
      </c>
      <c r="N35" s="294">
        <v>628643.69999999995</v>
      </c>
      <c r="O35" s="294">
        <f>J35-M35</f>
        <v>12813000</v>
      </c>
      <c r="P35" s="522"/>
      <c r="Q35" s="327" t="s">
        <v>498</v>
      </c>
      <c r="R35" s="8"/>
      <c r="S35" s="5"/>
    </row>
    <row r="36" spans="1:19" ht="62.25" customHeight="1" outlineLevel="1" x14ac:dyDescent="0.25">
      <c r="A36" s="533"/>
      <c r="B36" s="262" t="s">
        <v>80</v>
      </c>
      <c r="C36" s="528"/>
      <c r="D36" s="528"/>
      <c r="E36" s="256"/>
      <c r="F36" s="271" t="s">
        <v>497</v>
      </c>
      <c r="G36" s="528"/>
      <c r="H36" s="271" t="s">
        <v>86</v>
      </c>
      <c r="I36" s="272" t="s">
        <v>29</v>
      </c>
      <c r="J36" s="42">
        <v>14500000</v>
      </c>
      <c r="K36" s="294">
        <v>14500000.000000002</v>
      </c>
      <c r="L36" s="274" t="s">
        <v>87</v>
      </c>
      <c r="M36" s="294">
        <f>2519999.6+630000+630000+630000</f>
        <v>4409999.5999999996</v>
      </c>
      <c r="N36" s="294">
        <v>2336020</v>
      </c>
      <c r="O36" s="294">
        <f>J36-M36</f>
        <v>10090000.4</v>
      </c>
      <c r="P36" s="528"/>
      <c r="Q36" s="292" t="s">
        <v>498</v>
      </c>
      <c r="R36" s="8"/>
      <c r="S36" s="5"/>
    </row>
    <row r="37" spans="1:19" ht="94.5" customHeight="1" outlineLevel="1" x14ac:dyDescent="0.25">
      <c r="A37" s="270">
        <v>20</v>
      </c>
      <c r="B37" s="271" t="s">
        <v>88</v>
      </c>
      <c r="C37" s="277" t="s">
        <v>89</v>
      </c>
      <c r="D37" s="276" t="s">
        <v>69</v>
      </c>
      <c r="E37" s="276"/>
      <c r="F37" s="276" t="s">
        <v>497</v>
      </c>
      <c r="G37" s="275" t="s">
        <v>316</v>
      </c>
      <c r="H37" s="276" t="s">
        <v>90</v>
      </c>
      <c r="I37" s="276" t="s">
        <v>71</v>
      </c>
      <c r="J37" s="279">
        <v>26409000000</v>
      </c>
      <c r="K37" s="294">
        <v>26399286331</v>
      </c>
      <c r="L37" s="293">
        <v>7.4999999999999997E-3</v>
      </c>
      <c r="M37" s="294">
        <f>7357230331.16835+1131704010/2.615+1153775484/2.666</f>
        <v>8222778331.1683502</v>
      </c>
      <c r="N37" s="294">
        <f>2607354309.06995+188428717.2/2.615+185536580.8/2.666</f>
        <v>2749004796.0961809</v>
      </c>
      <c r="O37" s="273">
        <f t="shared" ref="O37:O45" si="1">K37-M37</f>
        <v>18176507999.83165</v>
      </c>
      <c r="P37" s="140" t="s">
        <v>91</v>
      </c>
      <c r="Q37" s="204" t="s">
        <v>498</v>
      </c>
      <c r="R37" s="8"/>
      <c r="S37" s="5"/>
    </row>
    <row r="38" spans="1:19" ht="71.25" customHeight="1" outlineLevel="1" x14ac:dyDescent="0.25">
      <c r="A38" s="270">
        <v>21</v>
      </c>
      <c r="B38" s="277" t="s">
        <v>25</v>
      </c>
      <c r="C38" s="271" t="s">
        <v>92</v>
      </c>
      <c r="D38" s="271" t="s">
        <v>93</v>
      </c>
      <c r="E38" s="271"/>
      <c r="F38" s="271" t="s">
        <v>497</v>
      </c>
      <c r="G38" s="275" t="s">
        <v>317</v>
      </c>
      <c r="H38" s="276" t="s">
        <v>94</v>
      </c>
      <c r="I38" s="272" t="s">
        <v>51</v>
      </c>
      <c r="J38" s="294">
        <v>8988290</v>
      </c>
      <c r="K38" s="294">
        <v>8988290</v>
      </c>
      <c r="L38" s="295">
        <v>5.0000000000000001E-3</v>
      </c>
      <c r="M38" s="294">
        <f>4199999.97+600000+600000+289644000/482.74+290820000/484.7+286458000/477.43+600000+600000+231939215.4/394.26</f>
        <v>8988289.9699999988</v>
      </c>
      <c r="N38" s="294">
        <f>838542.942447016+522591.6/394.26</f>
        <v>839868.44237092405</v>
      </c>
      <c r="O38" s="273">
        <f t="shared" si="1"/>
        <v>3.0000001192092896E-2</v>
      </c>
      <c r="P38" s="140" t="s">
        <v>76</v>
      </c>
      <c r="Q38" s="204" t="s">
        <v>498</v>
      </c>
      <c r="R38" s="8"/>
      <c r="S38" s="5"/>
    </row>
    <row r="39" spans="1:19" ht="73.5" customHeight="1" outlineLevel="1" x14ac:dyDescent="0.25">
      <c r="A39" s="270">
        <v>22</v>
      </c>
      <c r="B39" s="277" t="s">
        <v>95</v>
      </c>
      <c r="C39" s="271" t="s">
        <v>92</v>
      </c>
      <c r="D39" s="271" t="s">
        <v>96</v>
      </c>
      <c r="E39" s="271"/>
      <c r="F39" s="271" t="s">
        <v>497</v>
      </c>
      <c r="G39" s="43" t="s">
        <v>318</v>
      </c>
      <c r="H39" s="294" t="s">
        <v>97</v>
      </c>
      <c r="I39" s="40" t="s">
        <v>2</v>
      </c>
      <c r="J39" s="294">
        <v>1757100000</v>
      </c>
      <c r="K39" s="294">
        <v>1757100000</v>
      </c>
      <c r="L39" s="293">
        <v>7.4999999999999997E-3</v>
      </c>
      <c r="M39" s="294">
        <f>439275000+62753571.5+62753571.5+62753571.3+62753571.4+62753571.4+62753571.4+62753571.5+62753571.5+62753571.5</f>
        <v>1004057142.9999999</v>
      </c>
      <c r="N39" s="294">
        <f>303383430.5+3313904.4+3032802.7</f>
        <v>309730137.59999996</v>
      </c>
      <c r="O39" s="273">
        <f t="shared" si="1"/>
        <v>753042857.00000012</v>
      </c>
      <c r="P39" s="140" t="s">
        <v>76</v>
      </c>
      <c r="Q39" s="204" t="s">
        <v>498</v>
      </c>
      <c r="R39" s="8"/>
      <c r="S39" s="5"/>
    </row>
    <row r="40" spans="1:19" ht="82.5" customHeight="1" outlineLevel="1" x14ac:dyDescent="0.25">
      <c r="A40" s="260">
        <v>23</v>
      </c>
      <c r="B40" s="277" t="s">
        <v>95</v>
      </c>
      <c r="C40" s="335" t="s">
        <v>98</v>
      </c>
      <c r="D40" s="271" t="s">
        <v>463</v>
      </c>
      <c r="E40" s="271"/>
      <c r="F40" s="271" t="s">
        <v>441</v>
      </c>
      <c r="G40" s="331" t="s">
        <v>509</v>
      </c>
      <c r="H40" s="294" t="s">
        <v>99</v>
      </c>
      <c r="I40" s="40" t="s">
        <v>2</v>
      </c>
      <c r="J40" s="294">
        <v>18700000000</v>
      </c>
      <c r="K40" s="294">
        <v>18700000000</v>
      </c>
      <c r="L40" s="264">
        <v>7.4999999999999997E-2</v>
      </c>
      <c r="M40" s="294">
        <f>890476190.5+890476190.5+890476190.5+890476190.5+890476190.5</f>
        <v>4452380952.5</v>
      </c>
      <c r="N40" s="294">
        <f>1333335616.4+703171232.9+699328767.1+670052837.5+632909002+602718199.6+569233855.2</f>
        <v>5210749510.6999998</v>
      </c>
      <c r="O40" s="273">
        <f t="shared" si="1"/>
        <v>14247619047.5</v>
      </c>
      <c r="P40" s="140" t="s">
        <v>76</v>
      </c>
      <c r="Q40" s="204" t="s">
        <v>498</v>
      </c>
      <c r="R40" s="8"/>
      <c r="S40" s="5"/>
    </row>
    <row r="41" spans="1:19" ht="63.75" customHeight="1" outlineLevel="1" x14ac:dyDescent="0.25">
      <c r="A41" s="260">
        <v>24</v>
      </c>
      <c r="B41" s="277" t="s">
        <v>95</v>
      </c>
      <c r="C41" s="251" t="s">
        <v>278</v>
      </c>
      <c r="D41" s="271" t="s">
        <v>463</v>
      </c>
      <c r="E41" s="251"/>
      <c r="F41" s="251" t="s">
        <v>441</v>
      </c>
      <c r="G41" s="330" t="s">
        <v>510</v>
      </c>
      <c r="H41" s="294" t="s">
        <v>265</v>
      </c>
      <c r="I41" s="40" t="s">
        <v>2</v>
      </c>
      <c r="J41" s="294">
        <v>25000000000</v>
      </c>
      <c r="K41" s="294">
        <v>25000000000</v>
      </c>
      <c r="L41" s="264">
        <v>0.09</v>
      </c>
      <c r="M41" s="294">
        <f>1190476190.4+1190476190.5+1190476190.5</f>
        <v>3571428571.4000001</v>
      </c>
      <c r="N41" s="294">
        <f>1171232876.7+1121917808.3+1128082191.8+1121917808.2+1074363992.2+1020645792.6</f>
        <v>6638160469.8000002</v>
      </c>
      <c r="O41" s="273">
        <f t="shared" si="1"/>
        <v>21428571428.599998</v>
      </c>
      <c r="P41" s="140" t="s">
        <v>76</v>
      </c>
      <c r="Q41" s="204" t="s">
        <v>498</v>
      </c>
      <c r="R41" s="8"/>
      <c r="S41" s="5"/>
    </row>
    <row r="42" spans="1:19" ht="78.75" customHeight="1" outlineLevel="1" x14ac:dyDescent="0.25">
      <c r="A42" s="532">
        <v>25</v>
      </c>
      <c r="B42" s="262" t="s">
        <v>95</v>
      </c>
      <c r="C42" s="521" t="s">
        <v>100</v>
      </c>
      <c r="D42" s="276" t="s">
        <v>472</v>
      </c>
      <c r="E42" s="259"/>
      <c r="F42" s="259" t="s">
        <v>497</v>
      </c>
      <c r="G42" s="541" t="s">
        <v>321</v>
      </c>
      <c r="H42" s="543" t="s">
        <v>102</v>
      </c>
      <c r="I42" s="272" t="s">
        <v>51</v>
      </c>
      <c r="J42" s="36">
        <v>270000000</v>
      </c>
      <c r="K42" s="294">
        <v>170663629.05000004</v>
      </c>
      <c r="L42" s="269">
        <v>0.03</v>
      </c>
      <c r="M42" s="294">
        <f>51199088.7002228+3370009369.8/394.93+3295429324.9/386.19+3461143748.2/405.61</f>
        <v>76798633.100286514</v>
      </c>
      <c r="N42" s="294">
        <f>20309911.275649+723428666.7/394.93+646453366.1/386.19+636850451.3/405.61</f>
        <v>25385731.975636914</v>
      </c>
      <c r="O42" s="273">
        <f t="shared" si="1"/>
        <v>93864995.949713528</v>
      </c>
      <c r="P42" s="521" t="s">
        <v>84</v>
      </c>
      <c r="Q42" s="291" t="s">
        <v>498</v>
      </c>
      <c r="R42" s="8"/>
      <c r="S42" s="5"/>
    </row>
    <row r="43" spans="1:19" ht="71.25" customHeight="1" outlineLevel="1" x14ac:dyDescent="0.25">
      <c r="A43" s="533"/>
      <c r="B43" s="262" t="s">
        <v>95</v>
      </c>
      <c r="C43" s="528"/>
      <c r="D43" s="271" t="s">
        <v>463</v>
      </c>
      <c r="E43" s="256"/>
      <c r="F43" s="256" t="s">
        <v>499</v>
      </c>
      <c r="G43" s="542"/>
      <c r="H43" s="544"/>
      <c r="I43" s="40" t="s">
        <v>2</v>
      </c>
      <c r="J43" s="37">
        <v>1265847400</v>
      </c>
      <c r="K43" s="294">
        <f>9509488626+108542329</f>
        <v>9618030955</v>
      </c>
      <c r="L43" s="269">
        <v>0.03</v>
      </c>
      <c r="M43" s="294">
        <f>2858334735.47632+482835444.3+482835444.2+482835444.3</f>
        <v>4306841068.2763195</v>
      </c>
      <c r="N43" s="294">
        <f>1045375895.11175+103648675.3+94716219.7+88841721.7</f>
        <v>1332582511.8117502</v>
      </c>
      <c r="O43" s="273">
        <f t="shared" si="1"/>
        <v>5311189886.7236805</v>
      </c>
      <c r="P43" s="528"/>
      <c r="Q43" s="292" t="s">
        <v>498</v>
      </c>
      <c r="R43" s="8"/>
      <c r="S43" s="5"/>
    </row>
    <row r="44" spans="1:19" ht="79.5" customHeight="1" outlineLevel="1" x14ac:dyDescent="0.25">
      <c r="A44" s="270">
        <v>26</v>
      </c>
      <c r="B44" s="277" t="s">
        <v>95</v>
      </c>
      <c r="C44" s="271" t="s">
        <v>103</v>
      </c>
      <c r="D44" s="531" t="s">
        <v>49</v>
      </c>
      <c r="E44" s="257"/>
      <c r="F44" s="258" t="s">
        <v>497</v>
      </c>
      <c r="G44" s="266" t="s">
        <v>322</v>
      </c>
      <c r="H44" s="268" t="s">
        <v>104</v>
      </c>
      <c r="I44" s="31" t="s">
        <v>51</v>
      </c>
      <c r="J44" s="36">
        <v>8907500</v>
      </c>
      <c r="K44" s="294">
        <v>8907384.7100000009</v>
      </c>
      <c r="L44" s="264" t="s">
        <v>368</v>
      </c>
      <c r="M44" s="294"/>
      <c r="N44" s="294">
        <f>1241236.45+96159781.6/386.38+118034920.8/403.19+119269571.9/387.69</f>
        <v>2090504.2500873837</v>
      </c>
      <c r="O44" s="283">
        <f t="shared" si="1"/>
        <v>8907384.7100000009</v>
      </c>
      <c r="P44" s="250" t="s">
        <v>105</v>
      </c>
      <c r="Q44" s="291" t="s">
        <v>498</v>
      </c>
      <c r="R44" s="8"/>
      <c r="S44" s="5"/>
    </row>
    <row r="45" spans="1:19" ht="116.25" customHeight="1" outlineLevel="1" thickBot="1" x14ac:dyDescent="0.3">
      <c r="A45" s="270">
        <v>27</v>
      </c>
      <c r="B45" s="256" t="s">
        <v>88</v>
      </c>
      <c r="C45" s="252" t="s">
        <v>103</v>
      </c>
      <c r="D45" s="594"/>
      <c r="E45" s="257"/>
      <c r="F45" s="258" t="s">
        <v>497</v>
      </c>
      <c r="G45" s="266" t="s">
        <v>323</v>
      </c>
      <c r="H45" s="51" t="s">
        <v>104</v>
      </c>
      <c r="I45" s="49" t="s">
        <v>51</v>
      </c>
      <c r="J45" s="52">
        <v>21092500</v>
      </c>
      <c r="K45" s="294">
        <v>21092210.790000003</v>
      </c>
      <c r="L45" s="298" t="s">
        <v>368</v>
      </c>
      <c r="M45" s="294"/>
      <c r="N45" s="294">
        <f>3081286.01+227668040/386.38+279535083/403.19+282423985/387.69</f>
        <v>5092306.983008015</v>
      </c>
      <c r="O45" s="282">
        <f t="shared" si="1"/>
        <v>21092210.790000003</v>
      </c>
      <c r="P45" s="250" t="s">
        <v>106</v>
      </c>
      <c r="Q45" s="291" t="s">
        <v>498</v>
      </c>
      <c r="R45" s="8"/>
      <c r="S45" s="5"/>
    </row>
    <row r="46" spans="1:19" s="9" customFormat="1" ht="15" customHeight="1" x14ac:dyDescent="0.25">
      <c r="A46" s="591" t="s">
        <v>115</v>
      </c>
      <c r="B46" s="592"/>
      <c r="C46" s="5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37990033.03968589</v>
      </c>
      <c r="N46" s="10">
        <f>SUMIF($I$5:$I$45,I46,$N$5:$N$45)</f>
        <v>16832617.59772047</v>
      </c>
      <c r="O46" s="10">
        <f>SUMIF($I$5:$I$45,I46,$O$5:$O$45)</f>
        <v>60700590.930314109</v>
      </c>
      <c r="P46" s="147"/>
      <c r="Q46" s="325"/>
      <c r="R46" s="8"/>
      <c r="S46" s="5"/>
    </row>
    <row r="47" spans="1:19" s="9" customFormat="1" ht="15" customHeight="1" x14ac:dyDescent="0.25">
      <c r="A47" s="585"/>
      <c r="B47" s="586"/>
      <c r="C47" s="5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14962516379.576319</v>
      </c>
      <c r="N47" s="11">
        <f>SUMIF($I$5:$I$45,I47,$N$5:$N$45)</f>
        <v>15949525403.321749</v>
      </c>
      <c r="O47" s="11">
        <f>SUMIF($I$5:$I$45,I47,$O$5:$O$45)</f>
        <v>52989278900.423676</v>
      </c>
      <c r="P47" s="148"/>
      <c r="Q47" s="318"/>
      <c r="R47" s="8"/>
      <c r="S47" s="5"/>
    </row>
    <row r="48" spans="1:19" s="9" customFormat="1" ht="15" customHeight="1" x14ac:dyDescent="0.25">
      <c r="A48" s="585"/>
      <c r="B48" s="586"/>
      <c r="C48" s="5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105704421.35805985</v>
      </c>
      <c r="N48" s="11">
        <f>SUMIF($I$5:$I$45,I48,$N$5:$N$45)</f>
        <v>56700799.964128859</v>
      </c>
      <c r="O48" s="11">
        <f>SUMIF($I$5:$I$45,I48,$O$5:$O$45)</f>
        <v>220754599.1519402</v>
      </c>
      <c r="P48" s="148"/>
      <c r="Q48" s="318"/>
      <c r="R48" s="8"/>
      <c r="S48" s="5"/>
    </row>
    <row r="49" spans="1:19" s="9" customFormat="1" ht="15" customHeight="1" x14ac:dyDescent="0.25">
      <c r="A49" s="585"/>
      <c r="B49" s="586"/>
      <c r="C49" s="5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12178517548.709158</v>
      </c>
      <c r="N49" s="56">
        <f>SUMIF($I$5:$I$45,I49,$N$5:$N$45)</f>
        <v>3571514171.4328051</v>
      </c>
      <c r="O49" s="56">
        <f>SUMIF($I$5:$I$45,I49,$O$5:$O$45)</f>
        <v>19680732094.29084</v>
      </c>
      <c r="P49" s="149"/>
      <c r="Q49" s="319"/>
      <c r="R49" s="8"/>
      <c r="S49" s="5"/>
    </row>
    <row r="50" spans="1:19" s="9" customFormat="1" ht="15" customHeight="1" thickBot="1" x14ac:dyDescent="0.3">
      <c r="A50" s="588"/>
      <c r="B50" s="589"/>
      <c r="C50" s="590"/>
      <c r="D50" s="57"/>
      <c r="E50" s="57"/>
      <c r="F50" s="57"/>
      <c r="G50" s="302"/>
      <c r="H50" s="303"/>
      <c r="I50" s="304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20"/>
      <c r="R50" s="8"/>
      <c r="S50" s="5"/>
    </row>
    <row r="51" spans="1:19" ht="96.75" customHeight="1" outlineLevel="1" x14ac:dyDescent="0.25">
      <c r="A51" s="261">
        <v>28</v>
      </c>
      <c r="B51" s="255" t="s">
        <v>116</v>
      </c>
      <c r="C51" s="256" t="s">
        <v>117</v>
      </c>
      <c r="D51" s="258" t="s">
        <v>118</v>
      </c>
      <c r="E51" s="258"/>
      <c r="F51" s="258" t="s">
        <v>497</v>
      </c>
      <c r="G51" s="266" t="s">
        <v>324</v>
      </c>
      <c r="H51" s="266" t="s">
        <v>119</v>
      </c>
      <c r="I51" s="31" t="s">
        <v>29</v>
      </c>
      <c r="J51" s="268">
        <v>5000000</v>
      </c>
      <c r="K51" s="268">
        <v>5000000</v>
      </c>
      <c r="L51" s="281" t="s">
        <v>120</v>
      </c>
      <c r="M51" s="268">
        <f>4166666.69+208333.33+88124985.9/423+87866652.7/421.76</f>
        <v>4791666.6202181326</v>
      </c>
      <c r="N51" s="268">
        <f>553011.29+6019459.2/423+4555355.1/421.76</f>
        <v>578042.51297989383</v>
      </c>
      <c r="O51" s="268">
        <f t="shared" ref="O51:O56" si="2">K51-M51</f>
        <v>208333.37978186738</v>
      </c>
      <c r="P51" s="253" t="s">
        <v>76</v>
      </c>
      <c r="Q51" s="292" t="s">
        <v>498</v>
      </c>
      <c r="S51" s="5"/>
    </row>
    <row r="52" spans="1:19" ht="86.25" customHeight="1" outlineLevel="1" x14ac:dyDescent="0.25">
      <c r="A52" s="260">
        <v>29</v>
      </c>
      <c r="B52" s="262" t="s">
        <v>121</v>
      </c>
      <c r="C52" s="251" t="s">
        <v>122</v>
      </c>
      <c r="D52" s="259" t="s">
        <v>118</v>
      </c>
      <c r="E52" s="259"/>
      <c r="F52" s="259" t="s">
        <v>497</v>
      </c>
      <c r="G52" s="265" t="s">
        <v>325</v>
      </c>
      <c r="H52" s="265" t="s">
        <v>123</v>
      </c>
      <c r="I52" s="272" t="s">
        <v>29</v>
      </c>
      <c r="J52" s="294">
        <v>5000000</v>
      </c>
      <c r="K52" s="294">
        <v>5000000</v>
      </c>
      <c r="L52" s="264" t="s">
        <v>120</v>
      </c>
      <c r="M52" s="294">
        <f>3125000+208333.33+88124985.9/423+87866652.7/421.76</f>
        <v>3749999.9302181336</v>
      </c>
      <c r="N52" s="294">
        <f>320254.8+16091046.9/423+15943700.8/421.76</f>
        <v>396097.88072837633</v>
      </c>
      <c r="O52" s="294">
        <f t="shared" si="2"/>
        <v>1250000.0697818664</v>
      </c>
      <c r="P52" s="521" t="s">
        <v>76</v>
      </c>
      <c r="Q52" s="291" t="s">
        <v>498</v>
      </c>
      <c r="S52" s="5"/>
    </row>
    <row r="53" spans="1:19" ht="84.75" customHeight="1" outlineLevel="1" x14ac:dyDescent="0.25">
      <c r="A53" s="260">
        <v>30</v>
      </c>
      <c r="B53" s="262" t="s">
        <v>121</v>
      </c>
      <c r="C53" s="251"/>
      <c r="D53" s="259" t="s">
        <v>463</v>
      </c>
      <c r="E53" s="259"/>
      <c r="F53" s="259" t="s">
        <v>499</v>
      </c>
      <c r="G53" s="265"/>
      <c r="H53" s="265"/>
      <c r="I53" s="47" t="s">
        <v>2</v>
      </c>
      <c r="J53" s="294"/>
      <c r="K53" s="294">
        <v>66094595</v>
      </c>
      <c r="L53" s="264" t="s">
        <v>120</v>
      </c>
      <c r="M53" s="294">
        <f>6609471.44+6609433.4+6609473.7+6609459.5</f>
        <v>26437838.039999999</v>
      </c>
      <c r="N53" s="294">
        <f>1088882.59773529+1190830.4+1204391.2</f>
        <v>3484104.19773529</v>
      </c>
      <c r="O53" s="294">
        <f t="shared" si="2"/>
        <v>39656756.960000001</v>
      </c>
      <c r="P53" s="528"/>
      <c r="Q53" s="292" t="s">
        <v>498</v>
      </c>
      <c r="S53" s="5"/>
    </row>
    <row r="54" spans="1:19" ht="89.25" customHeight="1" outlineLevel="1" x14ac:dyDescent="0.25">
      <c r="A54" s="270">
        <v>31</v>
      </c>
      <c r="B54" s="277" t="s">
        <v>124</v>
      </c>
      <c r="C54" s="271" t="s">
        <v>125</v>
      </c>
      <c r="D54" s="276" t="s">
        <v>126</v>
      </c>
      <c r="E54" s="276"/>
      <c r="F54" s="276" t="s">
        <v>497</v>
      </c>
      <c r="G54" s="275" t="s">
        <v>326</v>
      </c>
      <c r="H54" s="275" t="s">
        <v>127</v>
      </c>
      <c r="I54" s="272" t="s">
        <v>29</v>
      </c>
      <c r="J54" s="294">
        <v>5000000</v>
      </c>
      <c r="K54" s="294">
        <v>5000000</v>
      </c>
      <c r="L54" s="293" t="s">
        <v>120</v>
      </c>
      <c r="M54" s="294">
        <f>3227272.74+97124988.4/427.35+96136352.1/423+95854533.9/421.76</f>
        <v>3909090.8400054076</v>
      </c>
      <c r="N54" s="294">
        <f>475298.336411511+13707853.3/421.76</f>
        <v>507799.88539671584</v>
      </c>
      <c r="O54" s="294">
        <f t="shared" si="2"/>
        <v>1090909.1599945924</v>
      </c>
      <c r="P54" s="140" t="s">
        <v>76</v>
      </c>
      <c r="Q54" s="204" t="s">
        <v>498</v>
      </c>
      <c r="S54" s="5"/>
    </row>
    <row r="55" spans="1:19" ht="57" customHeight="1" outlineLevel="1" x14ac:dyDescent="0.25">
      <c r="A55" s="532">
        <v>32</v>
      </c>
      <c r="B55" s="262" t="s">
        <v>128</v>
      </c>
      <c r="C55" s="521" t="s">
        <v>129</v>
      </c>
      <c r="D55" s="259" t="s">
        <v>126</v>
      </c>
      <c r="E55" s="259"/>
      <c r="F55" s="259" t="s">
        <v>497</v>
      </c>
      <c r="G55" s="265" t="s">
        <v>327</v>
      </c>
      <c r="H55" s="265" t="s">
        <v>130</v>
      </c>
      <c r="I55" s="47" t="s">
        <v>29</v>
      </c>
      <c r="J55" s="267">
        <v>5000000</v>
      </c>
      <c r="K55" s="294">
        <v>3000000</v>
      </c>
      <c r="L55" s="45" t="s">
        <v>279</v>
      </c>
      <c r="M55" s="294">
        <f>676724.137931034+46797420.6/423+46660236.7/421.76</f>
        <v>897988.53799742239</v>
      </c>
      <c r="N55" s="294">
        <f>222742.9+6254858.7/423+5914494.4/421.76</f>
        <v>251553.16494688921</v>
      </c>
      <c r="O55" s="267">
        <f t="shared" si="2"/>
        <v>2102011.4620025777</v>
      </c>
      <c r="P55" s="521" t="s">
        <v>76</v>
      </c>
      <c r="Q55" s="291" t="s">
        <v>498</v>
      </c>
      <c r="S55" s="5"/>
    </row>
    <row r="56" spans="1:19" ht="57" customHeight="1" outlineLevel="1" thickBot="1" x14ac:dyDescent="0.3">
      <c r="A56" s="536"/>
      <c r="B56" s="262" t="s">
        <v>128</v>
      </c>
      <c r="C56" s="538"/>
      <c r="D56" s="259" t="s">
        <v>463</v>
      </c>
      <c r="E56" s="259"/>
      <c r="F56" s="259" t="s">
        <v>499</v>
      </c>
      <c r="G56" s="265" t="s">
        <v>327</v>
      </c>
      <c r="H56" s="265" t="s">
        <v>266</v>
      </c>
      <c r="I56" s="47" t="s">
        <v>2</v>
      </c>
      <c r="J56" s="267"/>
      <c r="K56" s="294">
        <v>100836059.51000001</v>
      </c>
      <c r="L56" s="45">
        <v>1.404E-2</v>
      </c>
      <c r="M56" s="294">
        <f>9751561.92837819+3148517+4073473.9</f>
        <v>16973552.828378189</v>
      </c>
      <c r="N56" s="294">
        <f>1328413.8+491137.6+435674.1</f>
        <v>2255225.5</v>
      </c>
      <c r="O56" s="267">
        <f t="shared" si="2"/>
        <v>83862506.68162182</v>
      </c>
      <c r="P56" s="538"/>
      <c r="Q56" s="328" t="s">
        <v>498</v>
      </c>
      <c r="S56" s="5"/>
    </row>
    <row r="57" spans="1:19" s="9" customFormat="1" ht="15" customHeight="1" x14ac:dyDescent="0.25">
      <c r="A57" s="591" t="s">
        <v>131</v>
      </c>
      <c r="B57" s="592"/>
      <c r="C57" s="593"/>
      <c r="D57" s="305"/>
      <c r="E57" s="305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325"/>
      <c r="R57" s="8"/>
      <c r="S57" s="5"/>
    </row>
    <row r="58" spans="1:19" s="9" customFormat="1" ht="15" customHeight="1" x14ac:dyDescent="0.25">
      <c r="A58" s="585"/>
      <c r="B58" s="586"/>
      <c r="C58" s="5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318"/>
      <c r="R58" s="8"/>
      <c r="S58" s="5"/>
    </row>
    <row r="59" spans="1:19" s="9" customFormat="1" ht="15" customHeight="1" x14ac:dyDescent="0.25">
      <c r="A59" s="585"/>
      <c r="B59" s="586"/>
      <c r="C59" s="5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8"/>
      <c r="R59" s="8"/>
      <c r="S59" s="5"/>
    </row>
    <row r="60" spans="1:19" s="9" customFormat="1" ht="15" customHeight="1" thickBot="1" x14ac:dyDescent="0.3">
      <c r="A60" s="588"/>
      <c r="B60" s="589"/>
      <c r="C60" s="590"/>
      <c r="D60" s="306"/>
      <c r="E60" s="306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20"/>
      <c r="R60" s="8"/>
      <c r="S60" s="5"/>
    </row>
    <row r="61" spans="1:19" s="2" customFormat="1" ht="91.5" customHeight="1" outlineLevel="1" x14ac:dyDescent="0.25">
      <c r="A61" s="270">
        <v>33</v>
      </c>
      <c r="B61" s="271" t="s">
        <v>132</v>
      </c>
      <c r="C61" s="271" t="s">
        <v>133</v>
      </c>
      <c r="D61" s="256" t="s">
        <v>473</v>
      </c>
      <c r="E61" s="256"/>
      <c r="F61" s="276" t="s">
        <v>441</v>
      </c>
      <c r="G61" s="58" t="s">
        <v>328</v>
      </c>
      <c r="H61" s="271" t="s">
        <v>134</v>
      </c>
      <c r="I61" s="271" t="s">
        <v>2</v>
      </c>
      <c r="J61" s="294">
        <v>74000000000</v>
      </c>
      <c r="K61" s="294">
        <v>74000000000</v>
      </c>
      <c r="L61" s="293" t="s">
        <v>135</v>
      </c>
      <c r="M61" s="294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294">
        <f>27971909177.5+338144.2+498915.4+526901.3+642474.8+795979.5</f>
        <v>27974711592.700001</v>
      </c>
      <c r="O61" s="273">
        <f>K61-M61</f>
        <v>8809523809.2999802</v>
      </c>
      <c r="P61" s="140" t="s">
        <v>76</v>
      </c>
      <c r="Q61" s="204" t="s">
        <v>498</v>
      </c>
      <c r="R61" s="1"/>
      <c r="S61" s="5"/>
    </row>
    <row r="62" spans="1:19" s="2" customFormat="1" ht="91.5" customHeight="1" outlineLevel="1" x14ac:dyDescent="0.25">
      <c r="A62" s="270">
        <v>34</v>
      </c>
      <c r="B62" s="271" t="s">
        <v>132</v>
      </c>
      <c r="C62" s="271" t="s">
        <v>136</v>
      </c>
      <c r="D62" s="271" t="s">
        <v>27</v>
      </c>
      <c r="E62" s="271"/>
      <c r="F62" s="276" t="s">
        <v>441</v>
      </c>
      <c r="G62" s="58" t="s">
        <v>329</v>
      </c>
      <c r="H62" s="271" t="s">
        <v>137</v>
      </c>
      <c r="I62" s="271" t="s">
        <v>2</v>
      </c>
      <c r="J62" s="294">
        <v>2035890300</v>
      </c>
      <c r="K62" s="294">
        <v>2035890300</v>
      </c>
      <c r="L62" s="293" t="s">
        <v>44</v>
      </c>
      <c r="M62" s="294">
        <v>0</v>
      </c>
      <c r="N62" s="294">
        <v>0</v>
      </c>
      <c r="O62" s="273">
        <f t="shared" ref="O62:O67" si="3">K62-M62</f>
        <v>2035890300</v>
      </c>
      <c r="P62" s="140" t="s">
        <v>76</v>
      </c>
      <c r="Q62" s="204" t="s">
        <v>498</v>
      </c>
      <c r="R62" s="1"/>
      <c r="S62" s="5"/>
    </row>
    <row r="63" spans="1:19" ht="67.5" outlineLevel="1" x14ac:dyDescent="0.25">
      <c r="A63" s="261">
        <v>35</v>
      </c>
      <c r="B63" s="277" t="s">
        <v>138</v>
      </c>
      <c r="C63" s="271" t="s">
        <v>139</v>
      </c>
      <c r="D63" s="276" t="s">
        <v>27</v>
      </c>
      <c r="E63" s="276" t="s">
        <v>511</v>
      </c>
      <c r="F63" s="276"/>
      <c r="G63" s="331" t="s">
        <v>330</v>
      </c>
      <c r="H63" s="276" t="s">
        <v>140</v>
      </c>
      <c r="I63" s="272" t="s">
        <v>29</v>
      </c>
      <c r="J63" s="294">
        <v>3500000</v>
      </c>
      <c r="K63" s="294">
        <v>3500000</v>
      </c>
      <c r="L63" s="293">
        <v>7.4999999999999997E-3</v>
      </c>
      <c r="M63" s="294">
        <f>696000+31440060/542.07+58000+24255020/418.19+24400600/420.7+25920780/446.91+24152360/416.42</f>
        <v>1044000</v>
      </c>
      <c r="N63" s="294">
        <f>399592.922231146+10515+10297.5+4215355.2/418.19+4149153.8/420.7+4310447/446.91+3925799.6/416.42</f>
        <v>459420.42258194601</v>
      </c>
      <c r="O63" s="273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270">
        <v>36</v>
      </c>
      <c r="B64" s="277" t="s">
        <v>141</v>
      </c>
      <c r="C64" s="271" t="s">
        <v>142</v>
      </c>
      <c r="D64" s="271" t="s">
        <v>143</v>
      </c>
      <c r="E64" s="271"/>
      <c r="F64" s="276" t="s">
        <v>441</v>
      </c>
      <c r="G64" s="278" t="s">
        <v>331</v>
      </c>
      <c r="H64" s="276" t="s">
        <v>144</v>
      </c>
      <c r="I64" s="272" t="s">
        <v>51</v>
      </c>
      <c r="J64" s="273">
        <v>1689937.9</v>
      </c>
      <c r="K64" s="294">
        <v>1689937.9</v>
      </c>
      <c r="L64" s="274">
        <v>5.9900000000000002E-2</v>
      </c>
      <c r="M64" s="294">
        <f>872805.23+28165+28165+28165</f>
        <v>957300.23</v>
      </c>
      <c r="N64" s="294">
        <f>1964862.47+25588.58+24871.58+24276.42</f>
        <v>2039599.05</v>
      </c>
      <c r="O64" s="273">
        <f t="shared" si="3"/>
        <v>732637.66999999993</v>
      </c>
      <c r="P64" s="142" t="s">
        <v>76</v>
      </c>
      <c r="Q64" s="321" t="s">
        <v>498</v>
      </c>
      <c r="S64" s="5"/>
    </row>
    <row r="65" spans="1:19" ht="98.25" customHeight="1" outlineLevel="1" x14ac:dyDescent="0.25">
      <c r="A65" s="261">
        <v>37</v>
      </c>
      <c r="B65" s="277" t="s">
        <v>145</v>
      </c>
      <c r="C65" s="271" t="s">
        <v>146</v>
      </c>
      <c r="D65" s="271" t="s">
        <v>143</v>
      </c>
      <c r="E65" s="271"/>
      <c r="F65" s="276" t="s">
        <v>441</v>
      </c>
      <c r="G65" s="278" t="s">
        <v>332</v>
      </c>
      <c r="H65" s="276" t="s">
        <v>147</v>
      </c>
      <c r="I65" s="272" t="s">
        <v>51</v>
      </c>
      <c r="J65" s="273">
        <v>2828000</v>
      </c>
      <c r="K65" s="294">
        <v>2828000</v>
      </c>
      <c r="L65" s="274">
        <v>5.9900000000000002E-2</v>
      </c>
      <c r="M65" s="273">
        <f>1128831.5+47000+47000</f>
        <v>1222831.5</v>
      </c>
      <c r="N65" s="294">
        <f>1731608.85+50775.51+49371.71</f>
        <v>1831756.07</v>
      </c>
      <c r="O65" s="273">
        <f t="shared" si="3"/>
        <v>1605168.5</v>
      </c>
      <c r="P65" s="142" t="s">
        <v>76</v>
      </c>
      <c r="Q65" s="321" t="s">
        <v>498</v>
      </c>
      <c r="S65" s="5"/>
    </row>
    <row r="66" spans="1:19" s="4" customFormat="1" ht="140.25" customHeight="1" outlineLevel="1" x14ac:dyDescent="0.25">
      <c r="A66" s="270">
        <v>38</v>
      </c>
      <c r="B66" s="277" t="s">
        <v>148</v>
      </c>
      <c r="C66" s="271" t="s">
        <v>149</v>
      </c>
      <c r="D66" s="271" t="s">
        <v>143</v>
      </c>
      <c r="E66" s="271"/>
      <c r="F66" s="276" t="s">
        <v>441</v>
      </c>
      <c r="G66" s="276" t="s">
        <v>333</v>
      </c>
      <c r="H66" s="276" t="s">
        <v>150</v>
      </c>
      <c r="I66" s="271" t="s">
        <v>2</v>
      </c>
      <c r="J66" s="60">
        <v>2092000000</v>
      </c>
      <c r="K66" s="294">
        <v>2092000000</v>
      </c>
      <c r="L66" s="61">
        <v>0.02</v>
      </c>
      <c r="M66" s="294">
        <f>354576270+35457627.1+35457627+35457627</f>
        <v>460949151.10000002</v>
      </c>
      <c r="N66" s="294">
        <f>426427783.87+17517039.3+16879773.4+16802058.1</f>
        <v>477626654.67000002</v>
      </c>
      <c r="O66" s="273">
        <f t="shared" si="3"/>
        <v>1631050848.9000001</v>
      </c>
      <c r="P66" s="142" t="s">
        <v>76</v>
      </c>
      <c r="Q66" s="321" t="s">
        <v>498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7">
        <v>2187306400</v>
      </c>
      <c r="K67" s="307">
        <v>2187306400</v>
      </c>
      <c r="L67" s="308">
        <v>0.03</v>
      </c>
      <c r="M67" s="75">
        <v>0</v>
      </c>
      <c r="N67" s="75">
        <f>224789707.9+33079263.9+32539928.1+33079263.9</f>
        <v>323488163.80000001</v>
      </c>
      <c r="O67" s="78">
        <f t="shared" si="3"/>
        <v>2187306400</v>
      </c>
      <c r="P67" s="195" t="s">
        <v>76</v>
      </c>
      <c r="Q67" s="324" t="s">
        <v>498</v>
      </c>
      <c r="R67" s="3"/>
      <c r="S67" s="5"/>
    </row>
    <row r="68" spans="1:19" s="9" customFormat="1" ht="15" customHeight="1" x14ac:dyDescent="0.25">
      <c r="A68" s="585" t="s">
        <v>153</v>
      </c>
      <c r="B68" s="586"/>
      <c r="C68" s="587"/>
      <c r="D68" s="309"/>
      <c r="E68" s="309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5"/>
      <c r="R68" s="8"/>
      <c r="S68" s="5"/>
    </row>
    <row r="69" spans="1:19" s="9" customFormat="1" ht="15" customHeight="1" x14ac:dyDescent="0.25">
      <c r="A69" s="585"/>
      <c r="B69" s="586"/>
      <c r="C69" s="5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65651425341.800018</v>
      </c>
      <c r="N69" s="11">
        <f>SUMIF($I$61:$I$67,I69,$N$61:$N$67)</f>
        <v>28775826411.169998</v>
      </c>
      <c r="O69" s="11">
        <f>SUMIF($I$61:$I$67,I69,$O$61:$O$67)</f>
        <v>14663771358.19998</v>
      </c>
      <c r="P69" s="148"/>
      <c r="Q69" s="318"/>
      <c r="R69" s="8"/>
      <c r="S69" s="5"/>
    </row>
    <row r="70" spans="1:19" s="9" customFormat="1" ht="15" customHeight="1" x14ac:dyDescent="0.25">
      <c r="A70" s="585"/>
      <c r="B70" s="586"/>
      <c r="C70" s="5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318"/>
      <c r="R70" s="8"/>
      <c r="S70" s="5"/>
    </row>
    <row r="71" spans="1:19" s="9" customFormat="1" ht="15" customHeight="1" thickBot="1" x14ac:dyDescent="0.3">
      <c r="A71" s="588"/>
      <c r="B71" s="589"/>
      <c r="C71" s="590"/>
      <c r="D71" s="306"/>
      <c r="E71" s="306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20"/>
      <c r="R71" s="8"/>
      <c r="S71" s="5"/>
    </row>
    <row r="72" spans="1:19" s="2" customFormat="1" ht="77.25" customHeight="1" outlineLevel="1" x14ac:dyDescent="0.25">
      <c r="A72" s="270">
        <v>40</v>
      </c>
      <c r="B72" s="277" t="s">
        <v>154</v>
      </c>
      <c r="C72" s="271" t="s">
        <v>155</v>
      </c>
      <c r="D72" s="256" t="s">
        <v>93</v>
      </c>
      <c r="E72" s="256"/>
      <c r="F72" s="258" t="s">
        <v>500</v>
      </c>
      <c r="G72" s="256" t="s">
        <v>335</v>
      </c>
      <c r="H72" s="271" t="s">
        <v>156</v>
      </c>
      <c r="I72" s="272" t="s">
        <v>51</v>
      </c>
      <c r="J72" s="294">
        <v>361332</v>
      </c>
      <c r="K72" s="294">
        <v>361332</v>
      </c>
      <c r="L72" s="293">
        <v>7.7700000000000005E-2</v>
      </c>
      <c r="M72" s="294">
        <f>219031+1000000/388.24</f>
        <v>221606.72635483206</v>
      </c>
      <c r="N72" s="294">
        <f>187530</f>
        <v>187530</v>
      </c>
      <c r="O72" s="273">
        <f>K72-M72</f>
        <v>139725.27364516794</v>
      </c>
      <c r="P72" s="140" t="s">
        <v>157</v>
      </c>
      <c r="Q72" s="292"/>
      <c r="R72" s="1"/>
      <c r="S72" s="5"/>
    </row>
    <row r="73" spans="1:19" ht="64.5" customHeight="1" outlineLevel="1" x14ac:dyDescent="0.25">
      <c r="A73" s="270">
        <v>41</v>
      </c>
      <c r="B73" s="277" t="s">
        <v>158</v>
      </c>
      <c r="C73" s="271" t="s">
        <v>159</v>
      </c>
      <c r="D73" s="259" t="s">
        <v>118</v>
      </c>
      <c r="E73" s="259"/>
      <c r="F73" s="259" t="s">
        <v>497</v>
      </c>
      <c r="G73" s="275" t="s">
        <v>336</v>
      </c>
      <c r="H73" s="294" t="s">
        <v>160</v>
      </c>
      <c r="I73" s="272" t="s">
        <v>29</v>
      </c>
      <c r="J73" s="294">
        <v>8000000</v>
      </c>
      <c r="K73" s="294">
        <v>80000</v>
      </c>
      <c r="L73" s="293" t="s">
        <v>44</v>
      </c>
      <c r="M73" s="294">
        <f>10909.09+3636.36+3636.36+1428217/392.76+1554016/427.35+3636.4+3632.85</f>
        <v>32723.821703756206</v>
      </c>
      <c r="N73" s="294">
        <f>105386.95+361.72+42360.02+4761284/392.76+5116448/427.35+12019.8+11989.6</f>
        <v>196213.21988818215</v>
      </c>
      <c r="O73" s="273">
        <f>K73-M73</f>
        <v>47276.178296243794</v>
      </c>
      <c r="P73" s="140" t="s">
        <v>161</v>
      </c>
      <c r="Q73" s="204" t="s">
        <v>498</v>
      </c>
      <c r="S73" s="5"/>
    </row>
    <row r="74" spans="1:19" ht="63" customHeight="1" outlineLevel="1" x14ac:dyDescent="0.25">
      <c r="A74" s="270">
        <v>42</v>
      </c>
      <c r="B74" s="277" t="s">
        <v>158</v>
      </c>
      <c r="C74" s="271" t="s">
        <v>162</v>
      </c>
      <c r="D74" s="259" t="s">
        <v>126</v>
      </c>
      <c r="E74" s="259"/>
      <c r="F74" s="259" t="s">
        <v>497</v>
      </c>
      <c r="G74" s="275" t="s">
        <v>337</v>
      </c>
      <c r="H74" s="294" t="s">
        <v>160</v>
      </c>
      <c r="I74" s="272" t="s">
        <v>29</v>
      </c>
      <c r="J74" s="294">
        <v>8000000</v>
      </c>
      <c r="K74" s="294"/>
      <c r="L74" s="293" t="s">
        <v>44</v>
      </c>
      <c r="M74" s="294"/>
      <c r="N74" s="294"/>
      <c r="O74" s="273">
        <f>K74-M74</f>
        <v>0</v>
      </c>
      <c r="P74" s="140" t="s">
        <v>161</v>
      </c>
      <c r="Q74" s="204" t="s">
        <v>498</v>
      </c>
      <c r="S74" s="5"/>
    </row>
    <row r="75" spans="1:19" ht="71.25" customHeight="1" outlineLevel="1" x14ac:dyDescent="0.25">
      <c r="A75" s="532">
        <v>43</v>
      </c>
      <c r="B75" s="534" t="s">
        <v>163</v>
      </c>
      <c r="C75" s="521" t="s">
        <v>264</v>
      </c>
      <c r="D75" s="259" t="s">
        <v>118</v>
      </c>
      <c r="E75" s="259"/>
      <c r="F75" s="259" t="s">
        <v>497</v>
      </c>
      <c r="G75" s="275" t="s">
        <v>338</v>
      </c>
      <c r="H75" s="521" t="s">
        <v>281</v>
      </c>
      <c r="I75" s="272" t="s">
        <v>29</v>
      </c>
      <c r="J75" s="294">
        <v>5500000</v>
      </c>
      <c r="K75" s="294">
        <f>1384955.78+492272.39+301757.1+219245.55+25340.75</f>
        <v>2423571.5699999998</v>
      </c>
      <c r="L75" s="293" t="s">
        <v>44</v>
      </c>
      <c r="M75" s="294"/>
      <c r="N75" s="294"/>
      <c r="O75" s="273">
        <f t="shared" ref="O75:O96" si="4">K75-M75</f>
        <v>2423571.5699999998</v>
      </c>
      <c r="P75" s="140" t="s">
        <v>76</v>
      </c>
      <c r="Q75" s="204" t="s">
        <v>501</v>
      </c>
      <c r="S75" s="5"/>
    </row>
    <row r="76" spans="1:19" ht="74.25" customHeight="1" outlineLevel="1" x14ac:dyDescent="0.25">
      <c r="A76" s="533"/>
      <c r="B76" s="527"/>
      <c r="C76" s="528"/>
      <c r="D76" s="259" t="s">
        <v>463</v>
      </c>
      <c r="E76" s="259"/>
      <c r="F76" s="259" t="s">
        <v>499</v>
      </c>
      <c r="G76" s="275"/>
      <c r="H76" s="528"/>
      <c r="I76" s="276" t="s">
        <v>2</v>
      </c>
      <c r="J76" s="294">
        <v>92733053.200000003</v>
      </c>
      <c r="K76" s="294">
        <f>92733053.2+20276600+1679251+16492341.9+20399976.4+42969092+26833268.5</f>
        <v>221383583</v>
      </c>
      <c r="L76" s="293"/>
      <c r="M76" s="294"/>
      <c r="N76" s="294"/>
      <c r="O76" s="273">
        <f t="shared" si="4"/>
        <v>221383583</v>
      </c>
      <c r="P76" s="140"/>
      <c r="Q76" s="204" t="s">
        <v>501</v>
      </c>
      <c r="S76" s="5"/>
    </row>
    <row r="77" spans="1:19" ht="80.25" customHeight="1" outlineLevel="1" x14ac:dyDescent="0.25">
      <c r="A77" s="270">
        <v>44</v>
      </c>
      <c r="B77" s="277" t="s">
        <v>164</v>
      </c>
      <c r="C77" s="271" t="s">
        <v>165</v>
      </c>
      <c r="D77" s="271" t="s">
        <v>463</v>
      </c>
      <c r="E77" s="271"/>
      <c r="F77" s="276"/>
      <c r="G77" s="275" t="s">
        <v>339</v>
      </c>
      <c r="H77" s="294" t="s">
        <v>166</v>
      </c>
      <c r="I77" s="276" t="s">
        <v>2</v>
      </c>
      <c r="J77" s="294">
        <v>249300000</v>
      </c>
      <c r="K77" s="294">
        <v>249300000</v>
      </c>
      <c r="L77" s="295">
        <v>1E-3</v>
      </c>
      <c r="M77" s="294">
        <f>42881892.9</f>
        <v>42881892.899999999</v>
      </c>
      <c r="N77" s="294">
        <f>528153.5</f>
        <v>528153.5</v>
      </c>
      <c r="O77" s="273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270">
        <v>45</v>
      </c>
      <c r="B78" s="262" t="s">
        <v>107</v>
      </c>
      <c r="C78" s="251" t="s">
        <v>108</v>
      </c>
      <c r="D78" s="259" t="s">
        <v>101</v>
      </c>
      <c r="E78" s="259"/>
      <c r="F78" s="259"/>
      <c r="G78" s="265" t="s">
        <v>340</v>
      </c>
      <c r="H78" s="267" t="s">
        <v>109</v>
      </c>
      <c r="I78" s="272" t="s">
        <v>51</v>
      </c>
      <c r="J78" s="294">
        <v>4000000</v>
      </c>
      <c r="K78" s="294">
        <v>869162.07</v>
      </c>
      <c r="L78" s="293" t="s">
        <v>44</v>
      </c>
      <c r="M78" s="294">
        <f>465353.9+34986668/397.71+41212635/391.46</f>
        <v>658603.5005344206</v>
      </c>
      <c r="N78" s="294">
        <f>188098.2+7483550/397.71+8032446/391.46</f>
        <v>227433.99995345628</v>
      </c>
      <c r="O78" s="282">
        <f>K78-M78</f>
        <v>210558.56946557935</v>
      </c>
      <c r="P78" s="251" t="s">
        <v>110</v>
      </c>
      <c r="Q78" s="291" t="s">
        <v>498</v>
      </c>
      <c r="S78" s="5"/>
    </row>
    <row r="79" spans="1:19" s="4" customFormat="1" ht="40.5" outlineLevel="1" x14ac:dyDescent="0.25">
      <c r="A79" s="270">
        <v>46</v>
      </c>
      <c r="B79" s="277" t="s">
        <v>167</v>
      </c>
      <c r="C79" s="271" t="s">
        <v>133</v>
      </c>
      <c r="D79" s="276" t="s">
        <v>473</v>
      </c>
      <c r="E79" s="276"/>
      <c r="F79" s="276" t="s">
        <v>441</v>
      </c>
      <c r="G79" s="276" t="s">
        <v>341</v>
      </c>
      <c r="H79" s="276" t="s">
        <v>291</v>
      </c>
      <c r="I79" s="276" t="s">
        <v>2</v>
      </c>
      <c r="J79" s="60">
        <v>50600000</v>
      </c>
      <c r="K79" s="294">
        <v>50600000</v>
      </c>
      <c r="L79" s="277" t="s">
        <v>168</v>
      </c>
      <c r="M79" s="294"/>
      <c r="N79" s="294"/>
      <c r="O79" s="60">
        <f t="shared" si="4"/>
        <v>50600000</v>
      </c>
      <c r="P79" s="140" t="s">
        <v>76</v>
      </c>
      <c r="Q79" s="204" t="s">
        <v>501</v>
      </c>
      <c r="R79" s="3"/>
      <c r="S79" s="5"/>
    </row>
    <row r="80" spans="1:19" s="4" customFormat="1" ht="40.5" customHeight="1" outlineLevel="1" x14ac:dyDescent="0.25">
      <c r="A80" s="270">
        <v>47</v>
      </c>
      <c r="B80" s="277" t="s">
        <v>167</v>
      </c>
      <c r="C80" s="271" t="s">
        <v>133</v>
      </c>
      <c r="D80" s="276" t="s">
        <v>473</v>
      </c>
      <c r="E80" s="276"/>
      <c r="F80" s="276" t="s">
        <v>441</v>
      </c>
      <c r="G80" s="276" t="s">
        <v>342</v>
      </c>
      <c r="H80" s="276" t="s">
        <v>292</v>
      </c>
      <c r="I80" s="271" t="s">
        <v>2</v>
      </c>
      <c r="J80" s="60">
        <v>1100000000</v>
      </c>
      <c r="K80" s="294">
        <v>1100000000</v>
      </c>
      <c r="L80" s="277" t="s">
        <v>168</v>
      </c>
      <c r="M80" s="294"/>
      <c r="N80" s="294"/>
      <c r="O80" s="60">
        <f t="shared" si="4"/>
        <v>1100000000</v>
      </c>
      <c r="P80" s="534" t="s">
        <v>267</v>
      </c>
      <c r="Q80" s="322" t="s">
        <v>501</v>
      </c>
      <c r="R80" s="3"/>
      <c r="S80" s="5"/>
    </row>
    <row r="81" spans="1:19" s="4" customFormat="1" ht="40.5" outlineLevel="1" x14ac:dyDescent="0.25">
      <c r="A81" s="270">
        <v>48</v>
      </c>
      <c r="B81" s="277" t="s">
        <v>167</v>
      </c>
      <c r="C81" s="271" t="s">
        <v>133</v>
      </c>
      <c r="D81" s="276" t="s">
        <v>473</v>
      </c>
      <c r="E81" s="276"/>
      <c r="F81" s="276" t="s">
        <v>441</v>
      </c>
      <c r="G81" s="276" t="s">
        <v>343</v>
      </c>
      <c r="H81" s="276" t="s">
        <v>293</v>
      </c>
      <c r="I81" s="271" t="s">
        <v>2</v>
      </c>
      <c r="J81" s="60">
        <v>792386600</v>
      </c>
      <c r="K81" s="294">
        <v>791031693</v>
      </c>
      <c r="L81" s="277" t="s">
        <v>168</v>
      </c>
      <c r="M81" s="294"/>
      <c r="N81" s="294"/>
      <c r="O81" s="60">
        <f t="shared" si="4"/>
        <v>791031693</v>
      </c>
      <c r="P81" s="526"/>
      <c r="Q81" s="323" t="s">
        <v>501</v>
      </c>
      <c r="R81" s="3"/>
      <c r="S81" s="5"/>
    </row>
    <row r="82" spans="1:19" s="4" customFormat="1" ht="40.5" outlineLevel="1" x14ac:dyDescent="0.25">
      <c r="A82" s="270">
        <v>49</v>
      </c>
      <c r="B82" s="277" t="s">
        <v>167</v>
      </c>
      <c r="C82" s="271" t="s">
        <v>133</v>
      </c>
      <c r="D82" s="276" t="s">
        <v>473</v>
      </c>
      <c r="E82" s="276"/>
      <c r="F82" s="276" t="s">
        <v>441</v>
      </c>
      <c r="G82" s="276" t="s">
        <v>344</v>
      </c>
      <c r="H82" s="276" t="s">
        <v>294</v>
      </c>
      <c r="I82" s="271" t="s">
        <v>2</v>
      </c>
      <c r="J82" s="60">
        <v>254672300</v>
      </c>
      <c r="K82" s="294">
        <f>168444408+75498000+5196300+5196300</f>
        <v>254335008</v>
      </c>
      <c r="L82" s="277" t="s">
        <v>168</v>
      </c>
      <c r="M82" s="294"/>
      <c r="N82" s="294"/>
      <c r="O82" s="60">
        <f t="shared" si="4"/>
        <v>254335008</v>
      </c>
      <c r="P82" s="527"/>
      <c r="Q82" s="329" t="s">
        <v>501</v>
      </c>
      <c r="R82" s="3"/>
      <c r="S82" s="5"/>
    </row>
    <row r="83" spans="1:19" s="4" customFormat="1" ht="40.5" outlineLevel="1" x14ac:dyDescent="0.25">
      <c r="A83" s="270">
        <v>50</v>
      </c>
      <c r="B83" s="277" t="s">
        <v>169</v>
      </c>
      <c r="C83" s="271" t="s">
        <v>133</v>
      </c>
      <c r="D83" s="276" t="s">
        <v>463</v>
      </c>
      <c r="E83" s="276"/>
      <c r="F83" s="276"/>
      <c r="G83" s="276" t="s">
        <v>345</v>
      </c>
      <c r="H83" s="276" t="s">
        <v>170</v>
      </c>
      <c r="I83" s="271" t="s">
        <v>2</v>
      </c>
      <c r="J83" s="60">
        <v>88731015</v>
      </c>
      <c r="K83" s="294">
        <v>88731000</v>
      </c>
      <c r="L83" s="62">
        <v>8.5000000000000006E-2</v>
      </c>
      <c r="M83" s="294"/>
      <c r="N83" s="294">
        <v>1591081</v>
      </c>
      <c r="O83" s="60">
        <f t="shared" si="4"/>
        <v>88731000</v>
      </c>
      <c r="P83" s="142" t="s">
        <v>171</v>
      </c>
      <c r="Q83" s="321"/>
      <c r="R83" s="3"/>
      <c r="S83" s="5"/>
    </row>
    <row r="84" spans="1:19" ht="81" outlineLevel="1" x14ac:dyDescent="0.25">
      <c r="A84" s="270">
        <v>51</v>
      </c>
      <c r="B84" s="262" t="s">
        <v>175</v>
      </c>
      <c r="C84" s="251" t="s">
        <v>173</v>
      </c>
      <c r="D84" s="251" t="s">
        <v>143</v>
      </c>
      <c r="E84" s="251"/>
      <c r="F84" s="259" t="s">
        <v>441</v>
      </c>
      <c r="G84" s="271" t="s">
        <v>347</v>
      </c>
      <c r="H84" s="271" t="s">
        <v>176</v>
      </c>
      <c r="I84" s="271" t="s">
        <v>51</v>
      </c>
      <c r="J84" s="64">
        <v>8944984.0899999999</v>
      </c>
      <c r="K84" s="294">
        <v>8944984.0899999999</v>
      </c>
      <c r="L84" s="65">
        <v>7.4999999999999997E-3</v>
      </c>
      <c r="M84" s="294">
        <f>2425758.4+151609.9+151609.9+151609.9</f>
        <v>2880588.0999999996</v>
      </c>
      <c r="N84" s="294">
        <f>881276.03+25084.35+24380.12+23943.98+23373.89</f>
        <v>978058.37</v>
      </c>
      <c r="O84" s="273">
        <f t="shared" si="4"/>
        <v>6064395.9900000002</v>
      </c>
      <c r="P84" s="250" t="s">
        <v>76</v>
      </c>
      <c r="Q84" s="291"/>
      <c r="S84" s="5"/>
    </row>
    <row r="85" spans="1:19" ht="55.5" customHeight="1" outlineLevel="1" x14ac:dyDescent="0.25">
      <c r="A85" s="532">
        <v>52</v>
      </c>
      <c r="B85" s="534" t="s">
        <v>177</v>
      </c>
      <c r="C85" s="521" t="s">
        <v>173</v>
      </c>
      <c r="D85" s="521" t="s">
        <v>143</v>
      </c>
      <c r="E85" s="251"/>
      <c r="F85" s="259" t="s">
        <v>441</v>
      </c>
      <c r="G85" s="521" t="s">
        <v>348</v>
      </c>
      <c r="H85" s="271" t="s">
        <v>178</v>
      </c>
      <c r="I85" s="271" t="s">
        <v>51</v>
      </c>
      <c r="J85" s="64">
        <v>5217725</v>
      </c>
      <c r="K85" s="294">
        <v>5217725</v>
      </c>
      <c r="L85" s="65">
        <v>7.4999999999999997E-3</v>
      </c>
      <c r="M85" s="294">
        <f>782658.5+52177.25+52177.25+52177.25</f>
        <v>939190.25</v>
      </c>
      <c r="N85" s="294">
        <f>538816.19+16480.36+16284.66</f>
        <v>571581.21</v>
      </c>
      <c r="O85" s="273">
        <f t="shared" si="4"/>
        <v>4278534.75</v>
      </c>
      <c r="P85" s="521" t="s">
        <v>76</v>
      </c>
      <c r="Q85" s="291"/>
      <c r="S85" s="5"/>
    </row>
    <row r="86" spans="1:19" ht="55.5" customHeight="1" outlineLevel="1" x14ac:dyDescent="0.25">
      <c r="A86" s="533"/>
      <c r="B86" s="527"/>
      <c r="C86" s="528"/>
      <c r="D86" s="528"/>
      <c r="E86" s="252"/>
      <c r="F86" s="259" t="s">
        <v>441</v>
      </c>
      <c r="G86" s="528"/>
      <c r="H86" s="271" t="s">
        <v>178</v>
      </c>
      <c r="I86" s="271" t="s">
        <v>2</v>
      </c>
      <c r="J86" s="64">
        <v>93025000</v>
      </c>
      <c r="K86" s="294">
        <v>93025000</v>
      </c>
      <c r="L86" s="65">
        <v>7.4999999999999997E-3</v>
      </c>
      <c r="M86" s="294">
        <f>13953750+930250+930250+930250</f>
        <v>16744500</v>
      </c>
      <c r="N86" s="294">
        <f>9237334.28+296030+287830</f>
        <v>9821194.2799999993</v>
      </c>
      <c r="O86" s="273">
        <f t="shared" si="4"/>
        <v>76280500</v>
      </c>
      <c r="P86" s="528"/>
      <c r="Q86" s="327"/>
      <c r="S86" s="5"/>
    </row>
    <row r="87" spans="1:19" ht="81" outlineLevel="1" x14ac:dyDescent="0.25">
      <c r="A87" s="270">
        <v>53</v>
      </c>
      <c r="B87" s="262" t="s">
        <v>179</v>
      </c>
      <c r="C87" s="251" t="s">
        <v>173</v>
      </c>
      <c r="D87" s="251" t="s">
        <v>143</v>
      </c>
      <c r="E87" s="251"/>
      <c r="F87" s="259" t="s">
        <v>441</v>
      </c>
      <c r="G87" s="271" t="s">
        <v>349</v>
      </c>
      <c r="H87" s="271" t="s">
        <v>180</v>
      </c>
      <c r="I87" s="271" t="s">
        <v>51</v>
      </c>
      <c r="J87" s="64">
        <v>1989000</v>
      </c>
      <c r="K87" s="294">
        <v>1989000</v>
      </c>
      <c r="L87" s="65">
        <v>7.4999999999999997E-3</v>
      </c>
      <c r="M87" s="294">
        <f>337118.7+33711.86+33711.86+33711.86</f>
        <v>438254.27999999997</v>
      </c>
      <c r="N87" s="294">
        <f>177150.18+6084.76+5957.99</f>
        <v>189192.93</v>
      </c>
      <c r="O87" s="273">
        <f t="shared" si="4"/>
        <v>1550745.72</v>
      </c>
      <c r="P87" s="250" t="s">
        <v>76</v>
      </c>
      <c r="Q87" s="291"/>
      <c r="S87" s="5"/>
    </row>
    <row r="88" spans="1:19" ht="94.5" outlineLevel="1" x14ac:dyDescent="0.25">
      <c r="A88" s="270">
        <v>54</v>
      </c>
      <c r="B88" s="262" t="s">
        <v>295</v>
      </c>
      <c r="C88" s="251" t="s">
        <v>296</v>
      </c>
      <c r="D88" s="251" t="s">
        <v>143</v>
      </c>
      <c r="E88" s="251"/>
      <c r="F88" s="259" t="s">
        <v>441</v>
      </c>
      <c r="G88" s="251" t="s">
        <v>350</v>
      </c>
      <c r="H88" s="251" t="s">
        <v>297</v>
      </c>
      <c r="I88" s="271" t="s">
        <v>2</v>
      </c>
      <c r="J88" s="64">
        <v>2047212646</v>
      </c>
      <c r="K88" s="267">
        <v>2047212646</v>
      </c>
      <c r="L88" s="65">
        <v>0.02</v>
      </c>
      <c r="M88" s="294">
        <v>0</v>
      </c>
      <c r="N88" s="294">
        <f>88017538.4+20640391+20640391+20303862+20640391</f>
        <v>170242573.40000001</v>
      </c>
      <c r="O88" s="273">
        <f t="shared" si="4"/>
        <v>2047212646</v>
      </c>
      <c r="P88" s="250" t="s">
        <v>76</v>
      </c>
      <c r="Q88" s="291"/>
      <c r="S88" s="5"/>
    </row>
    <row r="89" spans="1:19" ht="144" customHeight="1" outlineLevel="1" x14ac:dyDescent="0.25">
      <c r="A89" s="260">
        <v>55</v>
      </c>
      <c r="B89" s="262" t="s">
        <v>181</v>
      </c>
      <c r="C89" s="251" t="s">
        <v>182</v>
      </c>
      <c r="D89" s="251" t="s">
        <v>93</v>
      </c>
      <c r="E89" s="251"/>
      <c r="F89" s="251" t="s">
        <v>441</v>
      </c>
      <c r="G89" s="251" t="s">
        <v>492</v>
      </c>
      <c r="H89" s="251" t="s">
        <v>183</v>
      </c>
      <c r="I89" s="271" t="s">
        <v>51</v>
      </c>
      <c r="J89" s="64">
        <v>2217000</v>
      </c>
      <c r="K89" s="64">
        <v>2217000</v>
      </c>
      <c r="L89" s="66">
        <v>0.02</v>
      </c>
      <c r="M89" s="294">
        <f>1656550.78+18166.04+7000680/387.28+18122.86+18122.86+32122.86+28837.1+8000+8000+8000+20000+20000+20000</f>
        <v>1873999.0337740141</v>
      </c>
      <c r="N89" s="294">
        <f>108750.120345235+1633.42+698950/387.28+1809.39+1778.61+1691.44+3308.88+1649.96+1632.88+1515.4+1606.14+1524.38+1543.23</f>
        <v>130248.61692238849</v>
      </c>
      <c r="O89" s="273">
        <f t="shared" si="4"/>
        <v>343000.9662259859</v>
      </c>
      <c r="P89" s="250" t="s">
        <v>184</v>
      </c>
      <c r="Q89" s="291" t="s">
        <v>498</v>
      </c>
      <c r="S89" s="5"/>
    </row>
    <row r="90" spans="1:19" ht="128.25" customHeight="1" outlineLevel="1" x14ac:dyDescent="0.25">
      <c r="A90" s="270">
        <v>56</v>
      </c>
      <c r="B90" s="277" t="s">
        <v>284</v>
      </c>
      <c r="C90" s="271" t="s">
        <v>285</v>
      </c>
      <c r="D90" s="271" t="s">
        <v>118</v>
      </c>
      <c r="E90" s="271"/>
      <c r="F90" s="276" t="s">
        <v>497</v>
      </c>
      <c r="G90" s="271" t="s">
        <v>352</v>
      </c>
      <c r="H90" s="251" t="s">
        <v>287</v>
      </c>
      <c r="I90" s="271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294"/>
      <c r="N90" s="67">
        <f>77849.88+103888.1+413918.01+520635</f>
        <v>1116290.99</v>
      </c>
      <c r="O90" s="273">
        <f t="shared" si="4"/>
        <v>20000000</v>
      </c>
      <c r="P90" s="250" t="s">
        <v>289</v>
      </c>
      <c r="Q90" s="291" t="s">
        <v>498</v>
      </c>
      <c r="S90" s="5"/>
    </row>
    <row r="91" spans="1:19" s="4" customFormat="1" ht="38.25" customHeight="1" outlineLevel="1" x14ac:dyDescent="0.25">
      <c r="A91" s="532">
        <v>57</v>
      </c>
      <c r="B91" s="534" t="s">
        <v>185</v>
      </c>
      <c r="C91" s="521" t="s">
        <v>186</v>
      </c>
      <c r="D91" s="521"/>
      <c r="E91" s="252"/>
      <c r="F91" s="257"/>
      <c r="G91" s="531" t="s">
        <v>353</v>
      </c>
      <c r="H91" s="531" t="s">
        <v>187</v>
      </c>
      <c r="I91" s="272" t="s">
        <v>51</v>
      </c>
      <c r="J91" s="60">
        <v>237758.39</v>
      </c>
      <c r="K91" s="294">
        <v>237758.39</v>
      </c>
      <c r="L91" s="295"/>
      <c r="M91" s="294"/>
      <c r="N91" s="294"/>
      <c r="O91" s="60">
        <f t="shared" si="4"/>
        <v>237758.39</v>
      </c>
      <c r="P91" s="521" t="s">
        <v>76</v>
      </c>
      <c r="Q91" s="291"/>
      <c r="R91" s="3"/>
      <c r="S91" s="5"/>
    </row>
    <row r="92" spans="1:19" s="4" customFormat="1" ht="45" customHeight="1" outlineLevel="1" x14ac:dyDescent="0.25">
      <c r="A92" s="533"/>
      <c r="B92" s="527"/>
      <c r="C92" s="528"/>
      <c r="D92" s="528"/>
      <c r="E92" s="256"/>
      <c r="F92" s="256"/>
      <c r="G92" s="530"/>
      <c r="H92" s="530"/>
      <c r="I92" s="47" t="s">
        <v>2</v>
      </c>
      <c r="J92" s="68">
        <v>28883700</v>
      </c>
      <c r="K92" s="294">
        <v>28883700</v>
      </c>
      <c r="L92" s="269"/>
      <c r="M92" s="294"/>
      <c r="N92" s="294"/>
      <c r="O92" s="60">
        <f t="shared" si="4"/>
        <v>28883700</v>
      </c>
      <c r="P92" s="528"/>
      <c r="Q92" s="292"/>
      <c r="R92" s="3"/>
      <c r="S92" s="5"/>
    </row>
    <row r="93" spans="1:19" s="2" customFormat="1" ht="59.25" customHeight="1" outlineLevel="1" x14ac:dyDescent="0.25">
      <c r="A93" s="260">
        <v>58</v>
      </c>
      <c r="B93" s="262" t="s">
        <v>111</v>
      </c>
      <c r="C93" s="251" t="s">
        <v>112</v>
      </c>
      <c r="D93" s="251" t="s">
        <v>463</v>
      </c>
      <c r="E93" s="251"/>
      <c r="F93" s="259"/>
      <c r="G93" s="251" t="s">
        <v>354</v>
      </c>
      <c r="H93" s="251" t="s">
        <v>114</v>
      </c>
      <c r="I93" s="251" t="s">
        <v>2</v>
      </c>
      <c r="J93" s="267">
        <v>303444194</v>
      </c>
      <c r="K93" s="267">
        <v>303444194</v>
      </c>
      <c r="L93" s="269">
        <v>0</v>
      </c>
      <c r="M93" s="267"/>
      <c r="N93" s="267"/>
      <c r="O93" s="282">
        <f t="shared" si="4"/>
        <v>303444194</v>
      </c>
      <c r="P93" s="250" t="s">
        <v>76</v>
      </c>
      <c r="Q93" s="291"/>
      <c r="R93" s="1"/>
      <c r="S93" s="5"/>
    </row>
    <row r="94" spans="1:19" ht="51" customHeight="1" x14ac:dyDescent="0.25">
      <c r="A94" s="270">
        <v>59</v>
      </c>
      <c r="B94" s="277" t="s">
        <v>440</v>
      </c>
      <c r="C94" s="271" t="s">
        <v>441</v>
      </c>
      <c r="D94" s="271" t="s">
        <v>463</v>
      </c>
      <c r="E94" s="271"/>
      <c r="F94" s="271" t="s">
        <v>441</v>
      </c>
      <c r="G94" s="271" t="s">
        <v>442</v>
      </c>
      <c r="H94" s="271" t="s">
        <v>443</v>
      </c>
      <c r="I94" s="271" t="s">
        <v>2</v>
      </c>
      <c r="J94" s="294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271" t="s">
        <v>444</v>
      </c>
      <c r="Q94" s="204"/>
      <c r="S94" s="5"/>
    </row>
    <row r="95" spans="1:19" ht="155.25" customHeight="1" x14ac:dyDescent="0.25">
      <c r="A95" s="261">
        <v>60</v>
      </c>
      <c r="B95" s="255" t="s">
        <v>481</v>
      </c>
      <c r="C95" s="271" t="s">
        <v>441</v>
      </c>
      <c r="D95" s="271" t="s">
        <v>463</v>
      </c>
      <c r="E95" s="256"/>
      <c r="F95" s="258" t="s">
        <v>441</v>
      </c>
      <c r="G95" s="256"/>
      <c r="H95" s="271" t="s">
        <v>482</v>
      </c>
      <c r="I95" s="271" t="s">
        <v>2</v>
      </c>
      <c r="J95" s="268">
        <v>3500000000</v>
      </c>
      <c r="K95" s="268">
        <v>3500000000</v>
      </c>
      <c r="L95" s="62">
        <v>0.08</v>
      </c>
      <c r="M95" s="192"/>
      <c r="N95" s="192"/>
      <c r="O95" s="60">
        <f t="shared" si="4"/>
        <v>3500000000</v>
      </c>
      <c r="P95" s="253" t="s">
        <v>483</v>
      </c>
      <c r="Q95" s="292" t="s">
        <v>498</v>
      </c>
      <c r="S95" s="5"/>
    </row>
    <row r="96" spans="1:19" s="2" customFormat="1" ht="47.25" customHeight="1" outlineLevel="1" x14ac:dyDescent="0.25">
      <c r="A96" s="261">
        <v>61</v>
      </c>
      <c r="B96" s="256" t="s">
        <v>484</v>
      </c>
      <c r="C96" s="256" t="s">
        <v>441</v>
      </c>
      <c r="D96" s="256" t="s">
        <v>463</v>
      </c>
      <c r="E96" s="256"/>
      <c r="F96" s="258" t="s">
        <v>441</v>
      </c>
      <c r="G96" s="99" t="s">
        <v>447</v>
      </c>
      <c r="H96" s="256" t="s">
        <v>263</v>
      </c>
      <c r="I96" s="256" t="s">
        <v>2</v>
      </c>
      <c r="J96" s="268">
        <v>2000000000</v>
      </c>
      <c r="K96" s="268">
        <v>2000000000</v>
      </c>
      <c r="L96" s="281">
        <v>1E-4</v>
      </c>
      <c r="M96" s="268"/>
      <c r="N96" s="268"/>
      <c r="O96" s="284">
        <f t="shared" si="4"/>
        <v>2000000000</v>
      </c>
      <c r="P96" s="253" t="s">
        <v>448</v>
      </c>
      <c r="Q96" s="292" t="s">
        <v>498</v>
      </c>
      <c r="R96" s="1"/>
      <c r="S96" s="5"/>
    </row>
    <row r="97" spans="1:19" s="2" customFormat="1" ht="47.25" customHeight="1" outlineLevel="1" x14ac:dyDescent="0.25">
      <c r="A97" s="261">
        <v>62</v>
      </c>
      <c r="B97" s="256" t="s">
        <v>188</v>
      </c>
      <c r="C97" s="256" t="s">
        <v>189</v>
      </c>
      <c r="D97" s="256" t="s">
        <v>485</v>
      </c>
      <c r="E97" s="256"/>
      <c r="F97" s="258" t="s">
        <v>441</v>
      </c>
      <c r="G97" s="99" t="s">
        <v>355</v>
      </c>
      <c r="H97" s="256" t="s">
        <v>191</v>
      </c>
      <c r="I97" s="256" t="s">
        <v>51</v>
      </c>
      <c r="J97" s="268">
        <v>10000000</v>
      </c>
      <c r="K97" s="268">
        <v>10000000</v>
      </c>
      <c r="L97" s="281" t="s">
        <v>192</v>
      </c>
      <c r="M97" s="268">
        <v>2553676.86</v>
      </c>
      <c r="N97" s="268">
        <f>3533579.15874841+18816925/512.41+16022937.4/426.85+37537.63+37130+36723+37538+'[2]15,08,20 գործող'!$I$55+'[2]15,08,20 գործող'!$I$56+121220+144673</f>
        <v>4097736.4704706864</v>
      </c>
      <c r="O97" s="284">
        <f>K97-M97</f>
        <v>7446323.1400000006</v>
      </c>
      <c r="P97" s="253" t="s">
        <v>193</v>
      </c>
      <c r="Q97" s="292" t="s">
        <v>498</v>
      </c>
      <c r="R97" s="1"/>
      <c r="S97" s="5"/>
    </row>
    <row r="98" spans="1:19" s="2" customFormat="1" ht="51" customHeight="1" outlineLevel="1" thickBot="1" x14ac:dyDescent="0.3">
      <c r="A98" s="270">
        <v>63</v>
      </c>
      <c r="B98" s="271" t="s">
        <v>188</v>
      </c>
      <c r="C98" s="194" t="s">
        <v>502</v>
      </c>
      <c r="D98" s="194" t="s">
        <v>485</v>
      </c>
      <c r="E98" s="194"/>
      <c r="F98" s="74" t="s">
        <v>441</v>
      </c>
      <c r="G98" s="310" t="s">
        <v>356</v>
      </c>
      <c r="H98" s="194" t="s">
        <v>194</v>
      </c>
      <c r="I98" s="194" t="s">
        <v>2</v>
      </c>
      <c r="J98" s="294">
        <v>8000000000</v>
      </c>
      <c r="K98" s="294">
        <v>8000000000</v>
      </c>
      <c r="L98" s="293" t="s">
        <v>195</v>
      </c>
      <c r="M98" s="294"/>
      <c r="N98" s="294">
        <f>3496438357+79342466+80657534+79342466+79342466+1315069+216021918</f>
        <v>4032460276</v>
      </c>
      <c r="O98" s="273">
        <f>K98-M98</f>
        <v>8000000000</v>
      </c>
      <c r="P98" s="140" t="s">
        <v>196</v>
      </c>
      <c r="Q98" s="204" t="s">
        <v>498</v>
      </c>
      <c r="R98" s="1"/>
      <c r="S98" s="5"/>
    </row>
    <row r="99" spans="1:19" s="9" customFormat="1" ht="24.75" customHeight="1" x14ac:dyDescent="0.25">
      <c r="A99" s="591" t="s">
        <v>197</v>
      </c>
      <c r="B99" s="592"/>
      <c r="C99" s="593"/>
      <c r="F99" s="80"/>
      <c r="G99" s="80"/>
      <c r="H99" s="80"/>
      <c r="I99" s="80" t="s">
        <v>29</v>
      </c>
      <c r="J99" s="13">
        <f>SUMIF($I$72:$I$98,I99,$J$72:$J$98)</f>
        <v>41500000</v>
      </c>
      <c r="K99" s="13">
        <f>SUMIF($I$72:$I$98,I99,$K$72:$K$98)</f>
        <v>22503571.57</v>
      </c>
      <c r="L99" s="13"/>
      <c r="M99" s="13">
        <f>SUMIF($I$72:$I$98,I99,$M$72:$M$98)</f>
        <v>32723.821703756206</v>
      </c>
      <c r="N99" s="13">
        <f>SUMIF($I$72:$I$98,I99,$N$72:$N$98)</f>
        <v>1312504.2098881821</v>
      </c>
      <c r="O99" s="13">
        <f>SUMIF($I$72:$I$98,I99,$O$72:$O$98)</f>
        <v>22470847.748296242</v>
      </c>
      <c r="P99" s="147"/>
      <c r="Q99" s="325"/>
      <c r="R99" s="8"/>
      <c r="S99" s="5"/>
    </row>
    <row r="100" spans="1:19" s="9" customFormat="1" ht="39" customHeight="1" x14ac:dyDescent="0.25">
      <c r="A100" s="585"/>
      <c r="B100" s="586"/>
      <c r="C100" s="587"/>
      <c r="D100" s="41"/>
      <c r="E100" s="41"/>
      <c r="F100" s="54"/>
      <c r="G100" s="54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48"/>
      <c r="Q100" s="318"/>
      <c r="R100" s="8"/>
      <c r="S100" s="5"/>
    </row>
    <row r="101" spans="1:19" s="9" customFormat="1" ht="39" customHeight="1" x14ac:dyDescent="0.25">
      <c r="A101" s="585"/>
      <c r="B101" s="586"/>
      <c r="C101" s="587"/>
      <c r="D101" s="41"/>
      <c r="E101" s="41"/>
      <c r="F101" s="54"/>
      <c r="G101" s="54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9565918.7506632656</v>
      </c>
      <c r="N101" s="11">
        <f>SUMIF($I$72:$I$98,I101,$N$72:$N$98)</f>
        <v>6381781.5973465312</v>
      </c>
      <c r="O101" s="11">
        <f>SUMIF($I$72:$I$98,I101,$O$72:$O$98)</f>
        <v>20271042.799336735</v>
      </c>
      <c r="P101" s="148"/>
      <c r="Q101" s="318"/>
      <c r="R101" s="8"/>
      <c r="S101" s="5"/>
    </row>
    <row r="102" spans="1:19" s="9" customFormat="1" ht="39" customHeight="1" thickBot="1" x14ac:dyDescent="0.3">
      <c r="A102" s="588"/>
      <c r="B102" s="589"/>
      <c r="C102" s="590"/>
      <c r="D102" s="41"/>
      <c r="E102" s="41"/>
      <c r="F102" s="54"/>
      <c r="G102" s="54"/>
      <c r="H102" s="54"/>
      <c r="I102" s="57" t="s">
        <v>71</v>
      </c>
      <c r="J102" s="12">
        <f>SUMIF($I$72:$I$98,I102,$J$72:$J$98)</f>
        <v>0</v>
      </c>
      <c r="K102" s="12">
        <f>SUMIF($I$72:$I$98,I102,$K$72:$K$98)</f>
        <v>0</v>
      </c>
      <c r="L102" s="12"/>
      <c r="M102" s="12">
        <f>SUMIF($I$72:$I$98,I102,$M$72:$M$98)</f>
        <v>0</v>
      </c>
      <c r="N102" s="12">
        <f>SUMIF($I$72:$I$98,I102,$N$72:$N$98)</f>
        <v>0</v>
      </c>
      <c r="O102" s="12">
        <f>SUMIF($I$72:$I$98,I102,$O$72:$O$98)</f>
        <v>0</v>
      </c>
      <c r="P102" s="150"/>
      <c r="Q102" s="320"/>
      <c r="R102" s="8"/>
      <c r="S102" s="5"/>
    </row>
    <row r="103" spans="1:19" s="4" customFormat="1" ht="156.75" customHeight="1" outlineLevel="1" x14ac:dyDescent="0.25">
      <c r="A103" s="270">
        <v>64</v>
      </c>
      <c r="B103" s="251" t="s">
        <v>0</v>
      </c>
      <c r="C103" s="251" t="s">
        <v>1</v>
      </c>
      <c r="D103" s="252" t="s">
        <v>463</v>
      </c>
      <c r="E103" s="252"/>
      <c r="F103" s="257"/>
      <c r="G103" s="257" t="s">
        <v>357</v>
      </c>
      <c r="H103" s="257" t="s">
        <v>198</v>
      </c>
      <c r="I103" s="271" t="s">
        <v>2</v>
      </c>
      <c r="J103" s="68">
        <f>3047000000+3000000000</f>
        <v>6047000000</v>
      </c>
      <c r="K103" s="40">
        <v>6000000000</v>
      </c>
      <c r="L103" s="269"/>
      <c r="M103" s="40">
        <f>4439902959+260956717.5+995441267.7+73262192.2+103703140+88648827.6+23704487.9+9999937.1</f>
        <v>5995619529</v>
      </c>
      <c r="N103" s="40"/>
      <c r="O103" s="267">
        <f t="shared" ref="O103:O108" si="5">K103-M103</f>
        <v>4380471</v>
      </c>
      <c r="P103" s="146" t="s">
        <v>76</v>
      </c>
      <c r="Q103" s="323"/>
      <c r="R103" s="3"/>
      <c r="S103" s="5"/>
    </row>
    <row r="104" spans="1:19" s="4" customFormat="1" ht="147" customHeight="1" outlineLevel="1" x14ac:dyDescent="0.25">
      <c r="A104" s="270">
        <v>65</v>
      </c>
      <c r="B104" s="251" t="s">
        <v>0</v>
      </c>
      <c r="C104" s="521" t="s">
        <v>7</v>
      </c>
      <c r="D104" s="251" t="s">
        <v>463</v>
      </c>
      <c r="E104" s="251"/>
      <c r="F104" s="259"/>
      <c r="G104" s="259" t="s">
        <v>488</v>
      </c>
      <c r="H104" s="259" t="s">
        <v>9</v>
      </c>
      <c r="I104" s="271" t="s">
        <v>2</v>
      </c>
      <c r="J104" s="294">
        <v>2000000000</v>
      </c>
      <c r="K104" s="40">
        <v>2000000000</v>
      </c>
      <c r="L104" s="295">
        <v>2.7E-2</v>
      </c>
      <c r="M104" s="40"/>
      <c r="N104" s="273">
        <f>68417269.8+13462993.2+49643.9+1421840.5+38566246.5+491534.9+1119195.4+178355+29883.2+10588.6+3022.3</f>
        <v>123750573.30000001</v>
      </c>
      <c r="O104" s="273">
        <f t="shared" si="5"/>
        <v>2000000000</v>
      </c>
      <c r="P104" s="146" t="s">
        <v>76</v>
      </c>
      <c r="Q104" s="322"/>
      <c r="R104" s="3"/>
      <c r="S104" s="5"/>
    </row>
    <row r="105" spans="1:19" s="4" customFormat="1" ht="144.75" customHeight="1" outlineLevel="1" x14ac:dyDescent="0.25">
      <c r="A105" s="270">
        <v>66</v>
      </c>
      <c r="B105" s="251" t="s">
        <v>0</v>
      </c>
      <c r="C105" s="522"/>
      <c r="D105" s="278" t="s">
        <v>463</v>
      </c>
      <c r="E105" s="285"/>
      <c r="F105" s="259"/>
      <c r="G105" s="259" t="s">
        <v>489</v>
      </c>
      <c r="H105" s="259" t="s">
        <v>11</v>
      </c>
      <c r="I105" s="256" t="s">
        <v>2</v>
      </c>
      <c r="J105" s="294">
        <v>2000000000</v>
      </c>
      <c r="K105" s="40">
        <v>2000000000</v>
      </c>
      <c r="L105" s="70">
        <v>5.7000000000000002E-2</v>
      </c>
      <c r="M105" s="40"/>
      <c r="N105" s="40">
        <f>153819379.6+28421448.8+780809.1+528470.5+2614769.3+283790.1+5159868.8+1406739.9</f>
        <v>193015276.10000002</v>
      </c>
      <c r="O105" s="273">
        <f t="shared" si="5"/>
        <v>2000000000</v>
      </c>
      <c r="P105" s="146" t="s">
        <v>76</v>
      </c>
      <c r="Q105" s="322"/>
      <c r="R105" s="3"/>
      <c r="S105" s="5"/>
    </row>
    <row r="106" spans="1:19" s="4" customFormat="1" ht="168" customHeight="1" outlineLevel="1" x14ac:dyDescent="0.25">
      <c r="A106" s="270">
        <v>67</v>
      </c>
      <c r="B106" s="311" t="s">
        <v>0</v>
      </c>
      <c r="C106" s="528"/>
      <c r="D106" s="253"/>
      <c r="E106" s="253"/>
      <c r="F106" s="312"/>
      <c r="G106" s="276" t="s">
        <v>490</v>
      </c>
      <c r="H106" s="276" t="s">
        <v>199</v>
      </c>
      <c r="I106" s="256" t="s">
        <v>2</v>
      </c>
      <c r="J106" s="294">
        <v>5000000000</v>
      </c>
      <c r="K106" s="40">
        <v>5000000000</v>
      </c>
      <c r="L106" s="295">
        <v>2.7E-2</v>
      </c>
      <c r="M106" s="40"/>
      <c r="N106" s="40">
        <f>34209157.5+76580313.4+83507353.3+1840160.7</f>
        <v>196136984.89999998</v>
      </c>
      <c r="O106" s="273">
        <f t="shared" si="5"/>
        <v>5000000000</v>
      </c>
      <c r="P106" s="142" t="s">
        <v>76</v>
      </c>
      <c r="Q106" s="321"/>
      <c r="R106" s="3"/>
      <c r="S106" s="5"/>
    </row>
    <row r="107" spans="1:19" s="4" customFormat="1" ht="162" outlineLevel="1" x14ac:dyDescent="0.25">
      <c r="A107" s="261">
        <v>68</v>
      </c>
      <c r="B107" s="252" t="s">
        <v>3</v>
      </c>
      <c r="C107" s="252" t="s">
        <v>5</v>
      </c>
      <c r="D107" s="252" t="s">
        <v>463</v>
      </c>
      <c r="E107" s="252"/>
      <c r="F107" s="257"/>
      <c r="G107" s="257" t="s">
        <v>358</v>
      </c>
      <c r="H107" s="257" t="s">
        <v>6</v>
      </c>
      <c r="I107" s="256" t="s">
        <v>2</v>
      </c>
      <c r="J107" s="268">
        <v>562500000</v>
      </c>
      <c r="K107" s="192">
        <v>562500000</v>
      </c>
      <c r="L107" s="70"/>
      <c r="M107" s="192"/>
      <c r="N107" s="192"/>
      <c r="O107" s="283">
        <f t="shared" si="5"/>
        <v>562500000</v>
      </c>
      <c r="P107" s="151" t="s">
        <v>76</v>
      </c>
      <c r="Q107" s="323"/>
      <c r="R107" s="3"/>
      <c r="S107" s="5"/>
    </row>
    <row r="108" spans="1:19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463</v>
      </c>
      <c r="E108" s="194"/>
      <c r="F108" s="74"/>
      <c r="G108" s="74"/>
      <c r="H108" s="74" t="s">
        <v>369</v>
      </c>
      <c r="I108" s="194" t="s">
        <v>2</v>
      </c>
      <c r="J108" s="75">
        <f>2000000000+7300000000</f>
        <v>9300000000</v>
      </c>
      <c r="K108" s="76">
        <f>9024295000</f>
        <v>9024295000</v>
      </c>
      <c r="L108" s="77"/>
      <c r="M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N108" s="76">
        <f>34040214.6+16030636.8+1797857.1+7375602.5+3983531.1+11814600.3+22459610.6+9668538.8+11671711.4+6908264.6+1329981.6</f>
        <v>127080549.39999999</v>
      </c>
      <c r="O108" s="78">
        <f t="shared" si="5"/>
        <v>205429617.19999313</v>
      </c>
      <c r="P108" s="195" t="s">
        <v>76</v>
      </c>
      <c r="Q108" s="324"/>
      <c r="R108" s="3"/>
      <c r="S108" s="5"/>
    </row>
    <row r="109" spans="1:19" s="9" customFormat="1" ht="30" customHeight="1" x14ac:dyDescent="0.25">
      <c r="A109" s="591" t="s">
        <v>200</v>
      </c>
      <c r="B109" s="592"/>
      <c r="C109" s="593"/>
      <c r="D109" s="309"/>
      <c r="E109" s="309"/>
      <c r="F109" s="80"/>
      <c r="G109" s="80"/>
      <c r="H109" s="80"/>
      <c r="I109" s="313" t="s">
        <v>29</v>
      </c>
      <c r="J109" s="14">
        <f>SUMIF($I$103:$I$108,I109,$J$103:$J$108)</f>
        <v>0</v>
      </c>
      <c r="K109" s="14">
        <f>SUMIF($I$103:$I$108,I109,$K$103:$K$108)</f>
        <v>0</v>
      </c>
      <c r="L109" s="14"/>
      <c r="M109" s="14">
        <f>SUMIF($I$103:$I$108,I109,$M$103:$M$108)</f>
        <v>0</v>
      </c>
      <c r="N109" s="14">
        <f>SUMIF($I$103:$I$108,I109,$N$103:$N$108)</f>
        <v>0</v>
      </c>
      <c r="O109" s="14">
        <f>SUMIF($I$103:$I$108,I109,$O$103:$O$108)</f>
        <v>0</v>
      </c>
      <c r="P109" s="152"/>
      <c r="Q109" s="325"/>
      <c r="R109" s="3"/>
      <c r="S109" s="5"/>
    </row>
    <row r="110" spans="1:19" s="9" customFormat="1" ht="27" customHeight="1" x14ac:dyDescent="0.25">
      <c r="A110" s="585"/>
      <c r="B110" s="586"/>
      <c r="C110" s="587"/>
      <c r="D110" s="41"/>
      <c r="E110" s="41"/>
      <c r="F110" s="54"/>
      <c r="G110" s="54"/>
      <c r="H110" s="54"/>
      <c r="I110" s="314" t="s">
        <v>2</v>
      </c>
      <c r="J110" s="14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14814484911.800007</v>
      </c>
      <c r="N110" s="11">
        <f>SUMIF($I$103:$I$108,I110,$N$103:$N$108)</f>
        <v>639983383.70000005</v>
      </c>
      <c r="O110" s="11">
        <f>SUMIF($I$103:$I$108,I110,$O$103:$O$108)</f>
        <v>9772310088.1999931</v>
      </c>
      <c r="P110" s="148"/>
      <c r="Q110" s="318"/>
      <c r="R110" s="3"/>
      <c r="S110" s="5"/>
    </row>
    <row r="111" spans="1:19" s="9" customFormat="1" ht="28.5" customHeight="1" x14ac:dyDescent="0.25">
      <c r="A111" s="585"/>
      <c r="B111" s="586"/>
      <c r="C111" s="587"/>
      <c r="D111" s="41"/>
      <c r="E111" s="41"/>
      <c r="F111" s="54"/>
      <c r="G111" s="54"/>
      <c r="H111" s="54"/>
      <c r="I111" s="314" t="s">
        <v>51</v>
      </c>
      <c r="J111" s="14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48"/>
      <c r="Q111" s="318"/>
      <c r="R111" s="8"/>
      <c r="S111" s="5"/>
    </row>
    <row r="112" spans="1:19" s="9" customFormat="1" ht="30" customHeight="1" thickBot="1" x14ac:dyDescent="0.3">
      <c r="A112" s="588"/>
      <c r="B112" s="589"/>
      <c r="C112" s="590"/>
      <c r="D112" s="306"/>
      <c r="E112" s="306"/>
      <c r="F112" s="57"/>
      <c r="G112" s="57"/>
      <c r="H112" s="57"/>
      <c r="I112" s="304" t="s">
        <v>71</v>
      </c>
      <c r="J112" s="12">
        <f>SUMIF($I$103:$I$108,I112,$J$103:$J$108)</f>
        <v>0</v>
      </c>
      <c r="K112" s="12">
        <f>SUMIF($I$103:$I$108,I112,$K$103:$K$108)</f>
        <v>0</v>
      </c>
      <c r="L112" s="12"/>
      <c r="M112" s="12">
        <f>SUMIF($I$103:$I$108,I112,$M$103:$M$108)</f>
        <v>0</v>
      </c>
      <c r="N112" s="12">
        <f>SUMIF($I$103:$I$108,I112,$N$103:$N$108)</f>
        <v>0</v>
      </c>
      <c r="O112" s="12">
        <f>SUMIF($I$103:$I$108,I112,$O$103:$O$108)</f>
        <v>0</v>
      </c>
      <c r="P112" s="150"/>
      <c r="Q112" s="320"/>
      <c r="R112" s="8"/>
      <c r="S112" s="5"/>
    </row>
    <row r="113" spans="1:19" s="4" customFormat="1" ht="121.5" outlineLevel="1" x14ac:dyDescent="0.25">
      <c r="A113" s="261">
        <v>70</v>
      </c>
      <c r="B113" s="254" t="s">
        <v>201</v>
      </c>
      <c r="C113" s="254" t="s">
        <v>202</v>
      </c>
      <c r="D113" s="252" t="s">
        <v>463</v>
      </c>
      <c r="E113" s="252"/>
      <c r="F113" s="252" t="s">
        <v>441</v>
      </c>
      <c r="G113" s="257" t="s">
        <v>359</v>
      </c>
      <c r="H113" s="257" t="s">
        <v>203</v>
      </c>
      <c r="I113" s="271" t="s">
        <v>2</v>
      </c>
      <c r="J113" s="79">
        <v>574491741</v>
      </c>
      <c r="K113" s="79">
        <v>574491741</v>
      </c>
      <c r="L113" s="280">
        <v>1E-4</v>
      </c>
      <c r="M113" s="79">
        <f>132575017.2</f>
        <v>132575017.2</v>
      </c>
      <c r="N113" s="79">
        <f>85623+14165+39966.7</f>
        <v>139754.70000000001</v>
      </c>
      <c r="O113" s="283">
        <f t="shared" ref="O113:O125" si="6">K113-M113</f>
        <v>441916723.80000001</v>
      </c>
      <c r="P113" s="151" t="s">
        <v>204</v>
      </c>
      <c r="Q113" s="323"/>
      <c r="R113" s="3"/>
      <c r="S113" s="5"/>
    </row>
    <row r="114" spans="1:19" s="4" customFormat="1" ht="81" outlineLevel="1" x14ac:dyDescent="0.25">
      <c r="A114" s="270">
        <v>71</v>
      </c>
      <c r="B114" s="262" t="s">
        <v>205</v>
      </c>
      <c r="C114" s="262" t="s">
        <v>202</v>
      </c>
      <c r="D114" s="251" t="s">
        <v>463</v>
      </c>
      <c r="E114" s="251"/>
      <c r="F114" s="251" t="s">
        <v>441</v>
      </c>
      <c r="G114" s="259" t="s">
        <v>360</v>
      </c>
      <c r="H114" s="259" t="s">
        <v>206</v>
      </c>
      <c r="I114" s="271" t="s">
        <v>2</v>
      </c>
      <c r="J114" s="68">
        <v>98612371</v>
      </c>
      <c r="K114" s="60">
        <v>98612371</v>
      </c>
      <c r="L114" s="264">
        <v>1E-4</v>
      </c>
      <c r="M114" s="60"/>
      <c r="N114" s="60">
        <v>17060</v>
      </c>
      <c r="O114" s="282">
        <f t="shared" si="6"/>
        <v>98612371</v>
      </c>
      <c r="P114" s="146" t="s">
        <v>207</v>
      </c>
      <c r="Q114" s="322"/>
      <c r="R114" s="3"/>
      <c r="S114" s="5"/>
    </row>
    <row r="115" spans="1:19" s="4" customFormat="1" ht="81" outlineLevel="1" x14ac:dyDescent="0.25">
      <c r="A115" s="270">
        <v>72</v>
      </c>
      <c r="B115" s="262" t="s">
        <v>208</v>
      </c>
      <c r="C115" s="262" t="s">
        <v>202</v>
      </c>
      <c r="D115" s="251" t="s">
        <v>463</v>
      </c>
      <c r="E115" s="251"/>
      <c r="F115" s="251" t="s">
        <v>441</v>
      </c>
      <c r="G115" s="259" t="s">
        <v>361</v>
      </c>
      <c r="H115" s="259" t="s">
        <v>209</v>
      </c>
      <c r="I115" s="271" t="s">
        <v>2</v>
      </c>
      <c r="J115" s="68">
        <v>60132468</v>
      </c>
      <c r="K115" s="60">
        <v>60132468</v>
      </c>
      <c r="L115" s="264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282">
        <f t="shared" si="6"/>
        <v>18502295</v>
      </c>
      <c r="P115" s="146" t="s">
        <v>210</v>
      </c>
      <c r="Q115" s="322"/>
      <c r="R115" s="15"/>
      <c r="S115" s="5"/>
    </row>
    <row r="116" spans="1:19" s="4" customFormat="1" ht="81" outlineLevel="1" x14ac:dyDescent="0.25">
      <c r="A116" s="270">
        <v>73</v>
      </c>
      <c r="B116" s="262" t="s">
        <v>211</v>
      </c>
      <c r="C116" s="262" t="s">
        <v>202</v>
      </c>
      <c r="D116" s="251" t="s">
        <v>463</v>
      </c>
      <c r="E116" s="251"/>
      <c r="F116" s="251" t="s">
        <v>441</v>
      </c>
      <c r="G116" s="259" t="s">
        <v>362</v>
      </c>
      <c r="H116" s="259" t="s">
        <v>212</v>
      </c>
      <c r="I116" s="271" t="s">
        <v>2</v>
      </c>
      <c r="J116" s="294">
        <f>9500000+12453199</f>
        <v>21953199</v>
      </c>
      <c r="K116" s="60">
        <f>9500000+12453199</f>
        <v>21953199</v>
      </c>
      <c r="L116" s="264">
        <v>1E-4</v>
      </c>
      <c r="M116" s="60"/>
      <c r="N116" s="60">
        <v>3720</v>
      </c>
      <c r="O116" s="282">
        <f t="shared" si="6"/>
        <v>21953199</v>
      </c>
      <c r="P116" s="146" t="s">
        <v>213</v>
      </c>
      <c r="Q116" s="322"/>
      <c r="R116" s="15"/>
      <c r="S116" s="5"/>
    </row>
    <row r="117" spans="1:19" s="4" customFormat="1" ht="129.75" customHeight="1" outlineLevel="1" x14ac:dyDescent="0.25">
      <c r="A117" s="270">
        <v>74</v>
      </c>
      <c r="B117" s="262" t="s">
        <v>214</v>
      </c>
      <c r="C117" s="262" t="s">
        <v>202</v>
      </c>
      <c r="D117" s="251" t="s">
        <v>463</v>
      </c>
      <c r="E117" s="251"/>
      <c r="F117" s="251" t="s">
        <v>441</v>
      </c>
      <c r="G117" s="259" t="s">
        <v>362</v>
      </c>
      <c r="H117" s="259" t="s">
        <v>215</v>
      </c>
      <c r="I117" s="271" t="s">
        <v>2</v>
      </c>
      <c r="J117" s="68">
        <v>15801400</v>
      </c>
      <c r="K117" s="60">
        <v>15801400</v>
      </c>
      <c r="L117" s="264">
        <v>1E-4</v>
      </c>
      <c r="M117" s="60"/>
      <c r="N117" s="60">
        <v>3500</v>
      </c>
      <c r="O117" s="282">
        <f t="shared" si="6"/>
        <v>15801400</v>
      </c>
      <c r="P117" s="146" t="s">
        <v>216</v>
      </c>
      <c r="Q117" s="322"/>
      <c r="R117" s="15"/>
      <c r="S117" s="5"/>
    </row>
    <row r="118" spans="1:19" s="4" customFormat="1" ht="129.75" customHeight="1" outlineLevel="1" x14ac:dyDescent="0.25">
      <c r="A118" s="270">
        <v>75</v>
      </c>
      <c r="B118" s="262" t="s">
        <v>217</v>
      </c>
      <c r="C118" s="262" t="s">
        <v>202</v>
      </c>
      <c r="D118" s="251" t="s">
        <v>463</v>
      </c>
      <c r="E118" s="251"/>
      <c r="F118" s="251" t="s">
        <v>441</v>
      </c>
      <c r="G118" s="259" t="s">
        <v>362</v>
      </c>
      <c r="H118" s="259" t="s">
        <v>215</v>
      </c>
      <c r="I118" s="271" t="s">
        <v>2</v>
      </c>
      <c r="J118" s="68">
        <v>2554000</v>
      </c>
      <c r="K118" s="60">
        <v>2554000</v>
      </c>
      <c r="L118" s="264">
        <v>1E-4</v>
      </c>
      <c r="M118" s="60"/>
      <c r="N118" s="60">
        <f>500</f>
        <v>500</v>
      </c>
      <c r="O118" s="282">
        <f t="shared" si="6"/>
        <v>2554000</v>
      </c>
      <c r="P118" s="146" t="s">
        <v>218</v>
      </c>
      <c r="Q118" s="322"/>
      <c r="R118" s="15"/>
      <c r="S118" s="5"/>
    </row>
    <row r="119" spans="1:19" s="4" customFormat="1" ht="129.75" customHeight="1" outlineLevel="1" x14ac:dyDescent="0.25">
      <c r="A119" s="270">
        <v>76</v>
      </c>
      <c r="B119" s="262" t="s">
        <v>219</v>
      </c>
      <c r="C119" s="262" t="s">
        <v>202</v>
      </c>
      <c r="D119" s="251" t="s">
        <v>463</v>
      </c>
      <c r="E119" s="251"/>
      <c r="F119" s="251" t="s">
        <v>441</v>
      </c>
      <c r="G119" s="259" t="s">
        <v>362</v>
      </c>
      <c r="H119" s="259" t="s">
        <v>220</v>
      </c>
      <c r="I119" s="271" t="s">
        <v>2</v>
      </c>
      <c r="J119" s="68">
        <v>29053320</v>
      </c>
      <c r="K119" s="60">
        <v>29053320</v>
      </c>
      <c r="L119" s="264">
        <v>1E-4</v>
      </c>
      <c r="M119" s="60"/>
      <c r="N119" s="60">
        <f>2000+3000</f>
        <v>5000</v>
      </c>
      <c r="O119" s="282">
        <f t="shared" si="6"/>
        <v>29053320</v>
      </c>
      <c r="P119" s="146" t="s">
        <v>221</v>
      </c>
      <c r="Q119" s="322"/>
      <c r="R119" s="15"/>
      <c r="S119" s="5"/>
    </row>
    <row r="120" spans="1:19" s="4" customFormat="1" ht="129.75" customHeight="1" outlineLevel="1" x14ac:dyDescent="0.25">
      <c r="A120" s="270">
        <v>77</v>
      </c>
      <c r="B120" s="262" t="s">
        <v>222</v>
      </c>
      <c r="C120" s="262" t="s">
        <v>202</v>
      </c>
      <c r="D120" s="251" t="s">
        <v>463</v>
      </c>
      <c r="E120" s="251"/>
      <c r="F120" s="251" t="s">
        <v>441</v>
      </c>
      <c r="G120" s="259" t="s">
        <v>362</v>
      </c>
      <c r="H120" s="259" t="s">
        <v>223</v>
      </c>
      <c r="I120" s="271" t="s">
        <v>2</v>
      </c>
      <c r="J120" s="68">
        <v>192064443</v>
      </c>
      <c r="K120" s="60">
        <f>95000000+97064443</f>
        <v>192064443</v>
      </c>
      <c r="L120" s="264">
        <v>1E-4</v>
      </c>
      <c r="M120" s="60">
        <f>65000000+20000000+30000000+10000000</f>
        <v>125000000</v>
      </c>
      <c r="N120" s="60">
        <f>16100+12200+23933</f>
        <v>52233</v>
      </c>
      <c r="O120" s="282">
        <f t="shared" si="6"/>
        <v>67064443</v>
      </c>
      <c r="P120" s="146" t="s">
        <v>224</v>
      </c>
      <c r="Q120" s="322"/>
      <c r="R120" s="15"/>
      <c r="S120" s="5"/>
    </row>
    <row r="121" spans="1:19" s="4" customFormat="1" ht="129.75" customHeight="1" outlineLevel="1" x14ac:dyDescent="0.25">
      <c r="A121" s="270">
        <v>78</v>
      </c>
      <c r="B121" s="262" t="s">
        <v>226</v>
      </c>
      <c r="C121" s="262" t="s">
        <v>202</v>
      </c>
      <c r="D121" s="251" t="s">
        <v>463</v>
      </c>
      <c r="E121" s="251"/>
      <c r="F121" s="251" t="s">
        <v>441</v>
      </c>
      <c r="G121" s="259" t="s">
        <v>362</v>
      </c>
      <c r="H121" s="259" t="s">
        <v>225</v>
      </c>
      <c r="I121" s="271" t="s">
        <v>2</v>
      </c>
      <c r="J121" s="68">
        <v>3469534</v>
      </c>
      <c r="K121" s="60">
        <v>3469534</v>
      </c>
      <c r="L121" s="264">
        <v>1E-4</v>
      </c>
      <c r="M121" s="60">
        <v>266887</v>
      </c>
      <c r="N121" s="60">
        <f>600+86</f>
        <v>686</v>
      </c>
      <c r="O121" s="282">
        <f t="shared" si="6"/>
        <v>3202647</v>
      </c>
      <c r="P121" s="146" t="s">
        <v>227</v>
      </c>
      <c r="Q121" s="322"/>
      <c r="R121" s="15"/>
      <c r="S121" s="5"/>
    </row>
    <row r="122" spans="1:19" s="4" customFormat="1" ht="129.75" customHeight="1" outlineLevel="1" x14ac:dyDescent="0.25">
      <c r="A122" s="270">
        <v>79</v>
      </c>
      <c r="B122" s="262" t="s">
        <v>228</v>
      </c>
      <c r="C122" s="262" t="s">
        <v>202</v>
      </c>
      <c r="D122" s="251" t="s">
        <v>463</v>
      </c>
      <c r="E122" s="251"/>
      <c r="F122" s="251" t="s">
        <v>441</v>
      </c>
      <c r="G122" s="259" t="s">
        <v>362</v>
      </c>
      <c r="H122" s="259" t="s">
        <v>229</v>
      </c>
      <c r="I122" s="271" t="s">
        <v>2</v>
      </c>
      <c r="J122" s="68">
        <v>11781702</v>
      </c>
      <c r="K122" s="60">
        <v>11781702</v>
      </c>
      <c r="L122" s="264">
        <v>1E-4</v>
      </c>
      <c r="M122" s="60">
        <f>906285+906285+906285+906285+906285+906285+906285+906285</f>
        <v>7250280</v>
      </c>
      <c r="N122" s="60">
        <f>3000+1500+1500</f>
        <v>6000</v>
      </c>
      <c r="O122" s="282">
        <f t="shared" si="6"/>
        <v>4531422</v>
      </c>
      <c r="P122" s="146" t="s">
        <v>230</v>
      </c>
      <c r="Q122" s="322"/>
      <c r="R122" s="15"/>
      <c r="S122" s="5"/>
    </row>
    <row r="123" spans="1:19" s="4" customFormat="1" ht="129.75" customHeight="1" outlineLevel="1" x14ac:dyDescent="0.25">
      <c r="A123" s="270">
        <v>80</v>
      </c>
      <c r="B123" s="262" t="s">
        <v>231</v>
      </c>
      <c r="C123" s="262" t="s">
        <v>202</v>
      </c>
      <c r="D123" s="251" t="s">
        <v>463</v>
      </c>
      <c r="E123" s="251"/>
      <c r="F123" s="251" t="s">
        <v>441</v>
      </c>
      <c r="G123" s="259" t="s">
        <v>362</v>
      </c>
      <c r="H123" s="259" t="s">
        <v>232</v>
      </c>
      <c r="I123" s="271" t="s">
        <v>2</v>
      </c>
      <c r="J123" s="68">
        <f>112000000+16200000</f>
        <v>128200000</v>
      </c>
      <c r="K123" s="60">
        <f>112000000+16200000</f>
        <v>128200000</v>
      </c>
      <c r="L123" s="264">
        <v>1E-4</v>
      </c>
      <c r="M123" s="60">
        <f>3000000+3000000+4000000</f>
        <v>10000000</v>
      </c>
      <c r="N123" s="60">
        <f>25640+12820</f>
        <v>38460</v>
      </c>
      <c r="O123" s="282">
        <f t="shared" si="6"/>
        <v>118200000</v>
      </c>
      <c r="P123" s="146" t="s">
        <v>233</v>
      </c>
      <c r="Q123" s="322"/>
      <c r="R123" s="15"/>
      <c r="S123" s="5"/>
    </row>
    <row r="124" spans="1:19" s="4" customFormat="1" ht="129.75" customHeight="1" outlineLevel="1" x14ac:dyDescent="0.25">
      <c r="A124" s="270">
        <v>81</v>
      </c>
      <c r="B124" s="262" t="s">
        <v>234</v>
      </c>
      <c r="C124" s="262" t="s">
        <v>202</v>
      </c>
      <c r="D124" s="251" t="s">
        <v>463</v>
      </c>
      <c r="E124" s="251"/>
      <c r="F124" s="251" t="s">
        <v>441</v>
      </c>
      <c r="G124" s="259" t="s">
        <v>362</v>
      </c>
      <c r="H124" s="259" t="s">
        <v>235</v>
      </c>
      <c r="I124" s="271" t="s">
        <v>2</v>
      </c>
      <c r="J124" s="68">
        <v>26127500</v>
      </c>
      <c r="K124" s="60">
        <v>26127500</v>
      </c>
      <c r="L124" s="264">
        <v>1E-4</v>
      </c>
      <c r="M124" s="60"/>
      <c r="N124" s="60">
        <f>4530</f>
        <v>4530</v>
      </c>
      <c r="O124" s="282">
        <f t="shared" si="6"/>
        <v>26127500</v>
      </c>
      <c r="P124" s="146" t="s">
        <v>236</v>
      </c>
      <c r="Q124" s="322"/>
      <c r="R124" s="15"/>
      <c r="S124" s="5"/>
    </row>
    <row r="125" spans="1:19" s="4" customFormat="1" ht="129.75" customHeight="1" outlineLevel="1" x14ac:dyDescent="0.25">
      <c r="A125" s="270">
        <v>82</v>
      </c>
      <c r="B125" s="262" t="s">
        <v>237</v>
      </c>
      <c r="C125" s="262" t="s">
        <v>202</v>
      </c>
      <c r="D125" s="251" t="s">
        <v>463</v>
      </c>
      <c r="E125" s="251"/>
      <c r="F125" s="251" t="s">
        <v>441</v>
      </c>
      <c r="G125" s="259" t="s">
        <v>362</v>
      </c>
      <c r="H125" s="259" t="s">
        <v>238</v>
      </c>
      <c r="I125" s="271" t="s">
        <v>2</v>
      </c>
      <c r="J125" s="68">
        <v>19297200</v>
      </c>
      <c r="K125" s="60">
        <f>10800000+3440000+1440000+3617200</f>
        <v>19297200</v>
      </c>
      <c r="L125" s="264">
        <v>1E-4</v>
      </c>
      <c r="M125" s="60"/>
      <c r="N125" s="60">
        <f>3000</f>
        <v>3000</v>
      </c>
      <c r="O125" s="282">
        <f t="shared" si="6"/>
        <v>19297200</v>
      </c>
      <c r="P125" s="146" t="s">
        <v>239</v>
      </c>
      <c r="Q125" s="322"/>
      <c r="R125" s="15"/>
      <c r="S125" s="5"/>
    </row>
    <row r="126" spans="1:19" s="4" customFormat="1" ht="129.75" customHeight="1" outlineLevel="1" x14ac:dyDescent="0.25">
      <c r="A126" s="270">
        <v>83</v>
      </c>
      <c r="B126" s="262" t="s">
        <v>240</v>
      </c>
      <c r="C126" s="262" t="s">
        <v>202</v>
      </c>
      <c r="D126" s="251" t="s">
        <v>463</v>
      </c>
      <c r="E126" s="251"/>
      <c r="F126" s="251" t="s">
        <v>441</v>
      </c>
      <c r="G126" s="259" t="s">
        <v>362</v>
      </c>
      <c r="H126" s="259" t="s">
        <v>225</v>
      </c>
      <c r="I126" s="271" t="s">
        <v>2</v>
      </c>
      <c r="J126" s="68">
        <v>2164000</v>
      </c>
      <c r="K126" s="60">
        <v>2164000</v>
      </c>
      <c r="L126" s="264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282">
        <f>K126-N126</f>
        <v>2162875.2000000002</v>
      </c>
      <c r="P126" s="146" t="s">
        <v>241</v>
      </c>
      <c r="Q126" s="322"/>
      <c r="R126" s="15"/>
      <c r="S126" s="5"/>
    </row>
    <row r="127" spans="1:19" s="4" customFormat="1" ht="129.75" customHeight="1" outlineLevel="1" x14ac:dyDescent="0.25">
      <c r="A127" s="270">
        <v>84</v>
      </c>
      <c r="B127" s="262" t="s">
        <v>242</v>
      </c>
      <c r="C127" s="262" t="s">
        <v>202</v>
      </c>
      <c r="D127" s="251" t="s">
        <v>463</v>
      </c>
      <c r="E127" s="251"/>
      <c r="F127" s="251" t="s">
        <v>441</v>
      </c>
      <c r="G127" s="259" t="s">
        <v>362</v>
      </c>
      <c r="H127" s="259" t="s">
        <v>243</v>
      </c>
      <c r="I127" s="271" t="s">
        <v>2</v>
      </c>
      <c r="J127" s="68">
        <v>253504102</v>
      </c>
      <c r="K127" s="60">
        <v>253504102</v>
      </c>
      <c r="L127" s="264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282">
        <f t="shared" ref="O127:O133" si="7">K127-M127</f>
        <v>97501578</v>
      </c>
      <c r="P127" s="146" t="s">
        <v>244</v>
      </c>
      <c r="Q127" s="322"/>
      <c r="R127" s="15"/>
      <c r="S127" s="5"/>
    </row>
    <row r="128" spans="1:19" s="4" customFormat="1" ht="129.75" customHeight="1" outlineLevel="1" x14ac:dyDescent="0.25">
      <c r="A128" s="270">
        <v>85</v>
      </c>
      <c r="B128" s="262" t="s">
        <v>245</v>
      </c>
      <c r="C128" s="262" t="s">
        <v>202</v>
      </c>
      <c r="D128" s="251" t="s">
        <v>463</v>
      </c>
      <c r="E128" s="251"/>
      <c r="F128" s="251" t="s">
        <v>441</v>
      </c>
      <c r="G128" s="259" t="s">
        <v>362</v>
      </c>
      <c r="H128" s="259" t="s">
        <v>243</v>
      </c>
      <c r="I128" s="271" t="s">
        <v>2</v>
      </c>
      <c r="J128" s="68">
        <v>76200000</v>
      </c>
      <c r="K128" s="60">
        <v>76200000</v>
      </c>
      <c r="L128" s="264">
        <v>1E-4</v>
      </c>
      <c r="M128" s="60"/>
      <c r="N128" s="60">
        <f>7620+5520</f>
        <v>13140</v>
      </c>
      <c r="O128" s="282">
        <f t="shared" si="7"/>
        <v>76200000</v>
      </c>
      <c r="P128" s="146" t="s">
        <v>246</v>
      </c>
      <c r="Q128" s="322"/>
      <c r="R128" s="15"/>
      <c r="S128" s="5"/>
    </row>
    <row r="129" spans="1:19" s="4" customFormat="1" ht="81" outlineLevel="1" x14ac:dyDescent="0.25">
      <c r="A129" s="270">
        <v>86</v>
      </c>
      <c r="B129" s="262" t="s">
        <v>247</v>
      </c>
      <c r="C129" s="262" t="s">
        <v>202</v>
      </c>
      <c r="D129" s="251" t="s">
        <v>463</v>
      </c>
      <c r="E129" s="251"/>
      <c r="F129" s="251" t="s">
        <v>441</v>
      </c>
      <c r="G129" s="259" t="s">
        <v>362</v>
      </c>
      <c r="H129" s="259" t="s">
        <v>248</v>
      </c>
      <c r="I129" s="271" t="s">
        <v>2</v>
      </c>
      <c r="J129" s="68">
        <v>50613970</v>
      </c>
      <c r="K129" s="60">
        <v>50613970</v>
      </c>
      <c r="L129" s="264">
        <v>1E-4</v>
      </c>
      <c r="M129" s="60"/>
      <c r="N129" s="60">
        <f>8800+8800</f>
        <v>17600</v>
      </c>
      <c r="O129" s="282">
        <f t="shared" si="7"/>
        <v>50613970</v>
      </c>
      <c r="P129" s="146" t="s">
        <v>249</v>
      </c>
      <c r="Q129" s="322"/>
      <c r="R129" s="15"/>
      <c r="S129" s="5"/>
    </row>
    <row r="130" spans="1:19" s="4" customFormat="1" ht="81" outlineLevel="1" x14ac:dyDescent="0.25">
      <c r="A130" s="270">
        <v>87</v>
      </c>
      <c r="B130" s="262" t="s">
        <v>250</v>
      </c>
      <c r="C130" s="262" t="s">
        <v>202</v>
      </c>
      <c r="D130" s="251" t="s">
        <v>463</v>
      </c>
      <c r="E130" s="251"/>
      <c r="F130" s="251" t="s">
        <v>441</v>
      </c>
      <c r="G130" s="259" t="s">
        <v>362</v>
      </c>
      <c r="H130" s="259" t="s">
        <v>251</v>
      </c>
      <c r="I130" s="271" t="s">
        <v>2</v>
      </c>
      <c r="J130" s="68">
        <v>184740000</v>
      </c>
      <c r="K130" s="60">
        <v>184740000</v>
      </c>
      <c r="L130" s="264">
        <v>1E-4</v>
      </c>
      <c r="M130" s="60"/>
      <c r="N130" s="60">
        <f>31700</f>
        <v>31700</v>
      </c>
      <c r="O130" s="282">
        <f t="shared" si="7"/>
        <v>184740000</v>
      </c>
      <c r="P130" s="146" t="s">
        <v>252</v>
      </c>
      <c r="Q130" s="322"/>
      <c r="R130" s="15"/>
      <c r="S130" s="5"/>
    </row>
    <row r="131" spans="1:19" s="4" customFormat="1" ht="81" outlineLevel="1" x14ac:dyDescent="0.25">
      <c r="A131" s="270">
        <v>88</v>
      </c>
      <c r="B131" s="262" t="s">
        <v>253</v>
      </c>
      <c r="C131" s="262" t="s">
        <v>202</v>
      </c>
      <c r="D131" s="251" t="s">
        <v>463</v>
      </c>
      <c r="E131" s="251"/>
      <c r="F131" s="251" t="s">
        <v>441</v>
      </c>
      <c r="G131" s="259" t="s">
        <v>362</v>
      </c>
      <c r="H131" s="259" t="s">
        <v>254</v>
      </c>
      <c r="I131" s="271" t="s">
        <v>2</v>
      </c>
      <c r="J131" s="68">
        <v>219559596</v>
      </c>
      <c r="K131" s="60">
        <v>219559596</v>
      </c>
      <c r="L131" s="264">
        <v>1E-4</v>
      </c>
      <c r="M131" s="60">
        <f>16889200+16889200+185781196</f>
        <v>219559596</v>
      </c>
      <c r="N131" s="60">
        <f>5294+5294+27550+5533+1000</f>
        <v>44671</v>
      </c>
      <c r="O131" s="282">
        <f t="shared" si="7"/>
        <v>0</v>
      </c>
      <c r="P131" s="146" t="s">
        <v>438</v>
      </c>
      <c r="Q131" s="322"/>
      <c r="R131" s="15"/>
      <c r="S131" s="5"/>
    </row>
    <row r="132" spans="1:19" s="4" customFormat="1" ht="81" outlineLevel="1" x14ac:dyDescent="0.25">
      <c r="A132" s="270">
        <v>89</v>
      </c>
      <c r="B132" s="262" t="s">
        <v>255</v>
      </c>
      <c r="C132" s="262" t="s">
        <v>202</v>
      </c>
      <c r="D132" s="251" t="s">
        <v>463</v>
      </c>
      <c r="E132" s="251"/>
      <c r="F132" s="251" t="s">
        <v>441</v>
      </c>
      <c r="G132" s="259" t="s">
        <v>362</v>
      </c>
      <c r="H132" s="259" t="s">
        <v>251</v>
      </c>
      <c r="I132" s="271" t="s">
        <v>2</v>
      </c>
      <c r="J132" s="68">
        <v>29081500</v>
      </c>
      <c r="K132" s="60">
        <v>29081500</v>
      </c>
      <c r="L132" s="264">
        <v>1E-4</v>
      </c>
      <c r="M132" s="60"/>
      <c r="N132" s="60">
        <f>1000+4000+3000+1000</f>
        <v>9000</v>
      </c>
      <c r="O132" s="282">
        <f t="shared" si="7"/>
        <v>29081500</v>
      </c>
      <c r="P132" s="146" t="s">
        <v>256</v>
      </c>
      <c r="Q132" s="322"/>
      <c r="R132" s="15"/>
      <c r="S132" s="5"/>
    </row>
    <row r="133" spans="1:19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463</v>
      </c>
      <c r="E133" s="194"/>
      <c r="F133" s="194" t="s">
        <v>441</v>
      </c>
      <c r="G133" s="74" t="s">
        <v>362</v>
      </c>
      <c r="H133" s="74" t="s">
        <v>258</v>
      </c>
      <c r="I133" s="194" t="s">
        <v>2</v>
      </c>
      <c r="J133" s="307">
        <v>12060940</v>
      </c>
      <c r="K133" s="307">
        <v>12060940</v>
      </c>
      <c r="L133" s="298">
        <v>1E-4</v>
      </c>
      <c r="M133" s="307"/>
      <c r="N133" s="60">
        <v>2170</v>
      </c>
      <c r="O133" s="282">
        <f t="shared" si="7"/>
        <v>12060940</v>
      </c>
      <c r="P133" s="146" t="s">
        <v>259</v>
      </c>
      <c r="Q133" s="322"/>
      <c r="R133" s="15"/>
      <c r="S133" s="5"/>
    </row>
    <row r="134" spans="1:19" s="9" customFormat="1" ht="30" customHeight="1" x14ac:dyDescent="0.25">
      <c r="A134" s="585" t="s">
        <v>437</v>
      </c>
      <c r="B134" s="586"/>
      <c r="C134" s="587"/>
      <c r="D134" s="309"/>
      <c r="E134" s="309"/>
      <c r="F134" s="80"/>
      <c r="G134" s="80"/>
      <c r="H134" s="80"/>
      <c r="I134" s="315" t="s">
        <v>29</v>
      </c>
      <c r="J134" s="56">
        <f>SUMIF($I$113:$I$133,I134,$J$113:$J$133)</f>
        <v>0</v>
      </c>
      <c r="K134" s="14">
        <f>SUMIF($I$103:$I$133,I134,$K$103:$K$133)</f>
        <v>0</v>
      </c>
      <c r="L134" s="14"/>
      <c r="M134" s="14">
        <f>SUMIF($I$113:$I$133,I134,$M$113:$M$133)</f>
        <v>0</v>
      </c>
      <c r="N134" s="13">
        <f>SUMIF($I$103:$I$133,I134,$N$103:$N$133)</f>
        <v>0</v>
      </c>
      <c r="O134" s="13">
        <f>SUMIF($I$103:$I$133,I134,$O$103:$O$133)</f>
        <v>0</v>
      </c>
      <c r="P134" s="147"/>
      <c r="Q134" s="325"/>
      <c r="R134" s="8"/>
      <c r="S134" s="5"/>
    </row>
    <row r="135" spans="1:19" s="9" customFormat="1" ht="27" customHeight="1" x14ac:dyDescent="0.25">
      <c r="A135" s="585"/>
      <c r="B135" s="586"/>
      <c r="C135" s="587"/>
      <c r="D135" s="41"/>
      <c r="E135" s="41"/>
      <c r="F135" s="54"/>
      <c r="G135" s="54"/>
      <c r="H135" s="54"/>
      <c r="I135" s="316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693615324.20000005</v>
      </c>
      <c r="N135" s="11">
        <f>SUMIF($I$113:$I$133,I135,$N$113:$N$133)</f>
        <v>515765.2</v>
      </c>
      <c r="O135" s="11">
        <f>SUMIF($I$113:$I$133,I135,$O$113:$O$133)</f>
        <v>1319177384</v>
      </c>
      <c r="P135" s="148"/>
      <c r="Q135" s="318"/>
      <c r="R135" s="8"/>
      <c r="S135" s="5"/>
    </row>
    <row r="136" spans="1:19" s="9" customFormat="1" ht="28.5" customHeight="1" x14ac:dyDescent="0.25">
      <c r="A136" s="585"/>
      <c r="B136" s="586"/>
      <c r="C136" s="587"/>
      <c r="D136" s="41"/>
      <c r="E136" s="41"/>
      <c r="F136" s="54"/>
      <c r="G136" s="54"/>
      <c r="H136" s="54"/>
      <c r="I136" s="316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48"/>
      <c r="Q136" s="318"/>
      <c r="R136" s="8"/>
      <c r="S136" s="5"/>
    </row>
    <row r="137" spans="1:19" s="9" customFormat="1" ht="30" customHeight="1" thickBot="1" x14ac:dyDescent="0.3">
      <c r="A137" s="588"/>
      <c r="B137" s="589"/>
      <c r="C137" s="590"/>
      <c r="D137" s="306"/>
      <c r="E137" s="306"/>
      <c r="F137" s="57"/>
      <c r="G137" s="57"/>
      <c r="H137" s="57"/>
      <c r="I137" s="303" t="s">
        <v>71</v>
      </c>
      <c r="J137" s="12">
        <f>SUMIF($I$113:$I$133,I137,$J$113:$J$133)</f>
        <v>0</v>
      </c>
      <c r="K137" s="12">
        <f>SUMIF($I$103:$I$133,I137,$K$103:$K$133)</f>
        <v>0</v>
      </c>
      <c r="L137" s="12"/>
      <c r="M137" s="12">
        <f>SUMIF($I$103:$I$133,I137,$M$103:$M$133)</f>
        <v>0</v>
      </c>
      <c r="N137" s="12">
        <f>SUMIF($I$103:$I$133,I137,$N$103:$N$133)</f>
        <v>0</v>
      </c>
      <c r="O137" s="12">
        <f>SUMIF($I$103:$I$133,I137,$O$103:$O$133)</f>
        <v>0</v>
      </c>
      <c r="P137" s="150"/>
      <c r="Q137" s="320"/>
      <c r="R137" s="8"/>
      <c r="S137" s="5"/>
    </row>
    <row r="138" spans="1:19" s="9" customFormat="1" ht="15.75" customHeight="1" x14ac:dyDescent="0.25">
      <c r="A138" s="591" t="s">
        <v>260</v>
      </c>
      <c r="B138" s="592"/>
      <c r="C138" s="593"/>
      <c r="D138" s="309"/>
      <c r="E138" s="309"/>
      <c r="F138" s="80"/>
      <c r="G138" s="80"/>
      <c r="H138" s="80"/>
      <c r="I138" s="315" t="s">
        <v>29</v>
      </c>
      <c r="J138" s="14">
        <f t="shared" ref="J138:O141" si="8">J46+J57+J68+J99+J109+J134</f>
        <v>340755742.28000003</v>
      </c>
      <c r="K138" s="14">
        <f t="shared" si="8"/>
        <v>141932627.11000001</v>
      </c>
      <c r="L138" s="14">
        <f t="shared" si="8"/>
        <v>0</v>
      </c>
      <c r="M138" s="14">
        <f t="shared" si="8"/>
        <v>52415502.78982874</v>
      </c>
      <c r="N138" s="14">
        <f t="shared" si="8"/>
        <v>20338035.674242474</v>
      </c>
      <c r="O138" s="14">
        <f t="shared" si="8"/>
        <v>90278692.750171259</v>
      </c>
      <c r="P138" s="152"/>
      <c r="Q138" s="325"/>
      <c r="R138" s="8"/>
      <c r="S138" s="5"/>
    </row>
    <row r="139" spans="1:19" s="9" customFormat="1" ht="17.25" customHeight="1" x14ac:dyDescent="0.25">
      <c r="A139" s="585"/>
      <c r="B139" s="586"/>
      <c r="C139" s="587"/>
      <c r="D139" s="41"/>
      <c r="E139" s="41"/>
      <c r="F139" s="54"/>
      <c r="G139" s="54"/>
      <c r="H139" s="54"/>
      <c r="I139" s="316" t="s">
        <v>2</v>
      </c>
      <c r="J139" s="14">
        <f t="shared" si="8"/>
        <v>175900663940.10001</v>
      </c>
      <c r="K139" s="14">
        <f t="shared" si="8"/>
        <v>195360127444.51001</v>
      </c>
      <c r="L139" s="14">
        <f t="shared" si="8"/>
        <v>0</v>
      </c>
      <c r="M139" s="14">
        <f t="shared" si="8"/>
        <v>96258413075.144714</v>
      </c>
      <c r="N139" s="14">
        <f t="shared" si="8"/>
        <v>49608789735.269478</v>
      </c>
      <c r="O139" s="14">
        <f t="shared" si="8"/>
        <v>99103044091.565277</v>
      </c>
      <c r="P139" s="148"/>
      <c r="Q139" s="318"/>
      <c r="R139" s="8"/>
      <c r="S139" s="5"/>
    </row>
    <row r="140" spans="1:19" s="9" customFormat="1" ht="15" customHeight="1" x14ac:dyDescent="0.25">
      <c r="A140" s="585"/>
      <c r="B140" s="586"/>
      <c r="C140" s="587"/>
      <c r="D140" s="41"/>
      <c r="E140" s="41"/>
      <c r="F140" s="54"/>
      <c r="G140" s="54"/>
      <c r="H140" s="54"/>
      <c r="I140" s="316" t="s">
        <v>51</v>
      </c>
      <c r="J140" s="14">
        <f t="shared" si="8"/>
        <v>481140620.32000005</v>
      </c>
      <c r="K140" s="14">
        <f t="shared" si="8"/>
        <v>360813919.96000004</v>
      </c>
      <c r="L140" s="14">
        <f t="shared" si="8"/>
        <v>0</v>
      </c>
      <c r="M140" s="14">
        <f t="shared" si="8"/>
        <v>117450471.83872312</v>
      </c>
      <c r="N140" s="14">
        <f t="shared" si="8"/>
        <v>66953936.681475386</v>
      </c>
      <c r="O140" s="14">
        <f t="shared" si="8"/>
        <v>243363448.12127692</v>
      </c>
      <c r="P140" s="148"/>
      <c r="Q140" s="318"/>
      <c r="R140" s="8"/>
      <c r="S140" s="5"/>
    </row>
    <row r="141" spans="1:19" s="9" customFormat="1" ht="25.5" customHeight="1" x14ac:dyDescent="0.25">
      <c r="A141" s="585"/>
      <c r="B141" s="586"/>
      <c r="C141" s="587"/>
      <c r="D141" s="41"/>
      <c r="E141" s="41"/>
      <c r="F141" s="54"/>
      <c r="G141" s="54"/>
      <c r="H141" s="54"/>
      <c r="I141" s="316" t="s">
        <v>71</v>
      </c>
      <c r="J141" s="14">
        <f t="shared" si="8"/>
        <v>31777311969</v>
      </c>
      <c r="K141" s="14">
        <f t="shared" si="8"/>
        <v>31859249643</v>
      </c>
      <c r="L141" s="14">
        <f t="shared" si="8"/>
        <v>0</v>
      </c>
      <c r="M141" s="14">
        <f t="shared" si="8"/>
        <v>12178517548.709158</v>
      </c>
      <c r="N141" s="14">
        <f t="shared" si="8"/>
        <v>3571514171.4328051</v>
      </c>
      <c r="O141" s="14">
        <f t="shared" si="8"/>
        <v>19680732094.29084</v>
      </c>
      <c r="P141" s="149"/>
      <c r="Q141" s="319"/>
      <c r="R141" s="8"/>
      <c r="S141" s="5"/>
    </row>
    <row r="142" spans="1:19" s="9" customFormat="1" ht="15" customHeight="1" thickBot="1" x14ac:dyDescent="0.3">
      <c r="A142" s="588"/>
      <c r="B142" s="589"/>
      <c r="C142" s="590"/>
      <c r="D142" s="306"/>
      <c r="E142" s="306"/>
      <c r="F142" s="57"/>
      <c r="G142" s="57"/>
      <c r="H142" s="57"/>
      <c r="I142" s="316" t="s">
        <v>61</v>
      </c>
      <c r="J142" s="14">
        <f t="shared" ref="J142:O142" si="9">J50</f>
        <v>24086688</v>
      </c>
      <c r="K142" s="14">
        <f t="shared" si="9"/>
        <v>18384172.012149811</v>
      </c>
      <c r="L142" s="14">
        <f t="shared" si="9"/>
        <v>0</v>
      </c>
      <c r="M142" s="14">
        <f t="shared" si="9"/>
        <v>4356879.5040346272</v>
      </c>
      <c r="N142" s="14">
        <f t="shared" si="9"/>
        <v>2915190.8613051148</v>
      </c>
      <c r="O142" s="14">
        <f t="shared" si="9"/>
        <v>14027292.508115182</v>
      </c>
      <c r="P142" s="149"/>
      <c r="Q142" s="319"/>
      <c r="R142" s="8"/>
      <c r="S142" s="5"/>
    </row>
    <row r="143" spans="1:19" ht="51" customHeight="1" thickBot="1" x14ac:dyDescent="0.3">
      <c r="A143" s="81">
        <v>95</v>
      </c>
      <c r="B143" s="82" t="s">
        <v>261</v>
      </c>
      <c r="C143" s="83" t="s">
        <v>262</v>
      </c>
      <c r="D143" s="263" t="s">
        <v>463</v>
      </c>
      <c r="E143" s="263"/>
      <c r="F143" s="263" t="s">
        <v>441</v>
      </c>
      <c r="G143" s="263" t="s">
        <v>363</v>
      </c>
      <c r="H143" s="263" t="s">
        <v>263</v>
      </c>
      <c r="I143" s="83" t="s">
        <v>2</v>
      </c>
      <c r="J143" s="84">
        <f>834800635300+144000000000+32000000000+132000000000+3500000000+14000000000+2900000000+4000000000</f>
        <v>1167200635300</v>
      </c>
      <c r="K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102">
        <v>1E-4</v>
      </c>
      <c r="M143" s="85"/>
      <c r="N143" s="85"/>
      <c r="O143" s="86">
        <f>K143-M143</f>
        <v>1161789822801.3999</v>
      </c>
      <c r="P143" s="153" t="s">
        <v>76</v>
      </c>
      <c r="Q143" s="326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388.16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2.419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415.72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510.43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6"/>
      <c r="F158" s="6"/>
      <c r="G158" s="89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P103:Q108 A72:J72 A103:J108 P72:Q72 K72:O72 K103:O108" name="Nona"/>
    <protectedRange password="CAD7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64:Q67 A73:J76 K73:Q76 K79:O90" name="Maria"/>
  </protectedRanges>
  <mergeCells count="103"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A11:A12"/>
    <mergeCell ref="C11:C12"/>
    <mergeCell ref="G11:G12"/>
    <mergeCell ref="H11:H12"/>
    <mergeCell ref="P11:P12"/>
    <mergeCell ref="A13:A14"/>
    <mergeCell ref="C13:C14"/>
    <mergeCell ref="G13:G14"/>
    <mergeCell ref="H13:H14"/>
    <mergeCell ref="P13:P14"/>
    <mergeCell ref="A17:A18"/>
    <mergeCell ref="C17:C18"/>
    <mergeCell ref="D17:D18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A25:A26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P52:P53"/>
    <mergeCell ref="A55:A56"/>
    <mergeCell ref="C55:C56"/>
    <mergeCell ref="P55:P56"/>
    <mergeCell ref="P34:P36"/>
    <mergeCell ref="A42:A43"/>
    <mergeCell ref="C42:C43"/>
    <mergeCell ref="G42:G43"/>
    <mergeCell ref="H42:H43"/>
    <mergeCell ref="P42:P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A134:C137"/>
    <mergeCell ref="A138:C142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</mergeCells>
  <conditionalFormatting sqref="K5">
    <cfRule type="cellIs" dxfId="21" priority="5" operator="notEqual">
      <formula>#REF!</formula>
    </cfRule>
  </conditionalFormatting>
  <conditionalFormatting sqref="K93 K6:K33 K35:K44">
    <cfRule type="cellIs" dxfId="20" priority="4" operator="notEqual">
      <formula>#REF!</formula>
    </cfRule>
  </conditionalFormatting>
  <conditionalFormatting sqref="J21">
    <cfRule type="cellIs" dxfId="19" priority="3" operator="notEqual">
      <formula>#REF!</formula>
    </cfRule>
  </conditionalFormatting>
  <conditionalFormatting sqref="K45">
    <cfRule type="cellIs" dxfId="18" priority="2" operator="notEqual">
      <formula>#REF!</formula>
    </cfRule>
  </conditionalFormatting>
  <conditionalFormatting sqref="K78">
    <cfRule type="cellIs" dxfId="17" priority="1" operator="notEqual">
      <formula>#REF!</formula>
    </cfRule>
  </conditionalFormatting>
  <hyperlinks>
    <hyperlink ref="E5:E6" r:id="rId1" display="30.01.2009թ.               BMZ ID 2007.66.253"/>
    <hyperlink ref="G5:G6" r:id="rId2" display="07.10.2009թ."/>
    <hyperlink ref="P5" r:id="rId3"/>
    <hyperlink ref="P6" r:id="rId4"/>
    <hyperlink ref="E7" r:id="rId5"/>
    <hyperlink ref="G7" r:id="rId6"/>
    <hyperlink ref="P7" r:id="rId7"/>
    <hyperlink ref="G63" r:id="rId8"/>
    <hyperlink ref="C40" r:id="rId9"/>
    <hyperlink ref="G40" r:id="rId10" display="10.07.2020թ. N 8/20 վարկային պայմանագիր"/>
    <hyperlink ref="G41" r:id="rId11"/>
    <hyperlink ref="E19:E22" r:id="rId12" display="08.04.2015թ."/>
    <hyperlink ref="G19:G20" r:id="rId13" display="11.08.2015թ."/>
  </hyperlinks>
  <pageMargins left="0.7" right="0.7" top="0.75" bottom="0.75" header="0.3" footer="0.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opLeftCell="H1" workbookViewId="0">
      <selection activeCell="I133" sqref="I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19.28515625" style="420" customWidth="1"/>
    <col min="6" max="6" width="23" style="6" customWidth="1"/>
    <col min="7" max="7" width="23.28515625" style="423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364"/>
    </row>
    <row r="2" spans="1:19" ht="38.25" customHeight="1" x14ac:dyDescent="0.4">
      <c r="A2" s="570" t="s">
        <v>512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365"/>
    </row>
    <row r="3" spans="1:19" ht="33.75" customHeight="1" thickBot="1" x14ac:dyDescent="0.3">
      <c r="A3" s="18"/>
      <c r="C3" s="18"/>
      <c r="D3" s="18"/>
      <c r="F3" s="18"/>
      <c r="H3" s="18"/>
      <c r="I3" s="18"/>
      <c r="J3" s="18"/>
      <c r="K3" s="18"/>
      <c r="L3" s="300"/>
      <c r="M3" s="18"/>
      <c r="N3" s="18"/>
      <c r="O3" s="18"/>
      <c r="P3" s="18"/>
      <c r="Q3" s="7"/>
    </row>
    <row r="4" spans="1:19" s="2" customFormat="1" ht="114" customHeight="1" x14ac:dyDescent="0.25">
      <c r="A4" s="414" t="s">
        <v>13</v>
      </c>
      <c r="B4" s="415" t="s">
        <v>14</v>
      </c>
      <c r="C4" s="415" t="s">
        <v>15</v>
      </c>
      <c r="D4" s="415" t="s">
        <v>16</v>
      </c>
      <c r="E4" s="415" t="s">
        <v>504</v>
      </c>
      <c r="F4" s="415" t="s">
        <v>495</v>
      </c>
      <c r="G4" s="415" t="s">
        <v>298</v>
      </c>
      <c r="H4" s="415" t="s">
        <v>290</v>
      </c>
      <c r="I4" s="415" t="s">
        <v>17</v>
      </c>
      <c r="J4" s="415" t="s">
        <v>18</v>
      </c>
      <c r="K4" s="415" t="s">
        <v>19</v>
      </c>
      <c r="L4" s="416" t="s">
        <v>20</v>
      </c>
      <c r="M4" s="415" t="s">
        <v>21</v>
      </c>
      <c r="N4" s="415" t="s">
        <v>22</v>
      </c>
      <c r="O4" s="415" t="s">
        <v>23</v>
      </c>
      <c r="P4" s="415" t="s">
        <v>24</v>
      </c>
      <c r="Q4" s="417" t="s">
        <v>496</v>
      </c>
      <c r="R4" s="1"/>
      <c r="S4" s="98"/>
    </row>
    <row r="5" spans="1:19" ht="75" customHeight="1" outlineLevel="1" x14ac:dyDescent="0.25">
      <c r="A5" s="547">
        <v>1</v>
      </c>
      <c r="B5" s="355" t="s">
        <v>25</v>
      </c>
      <c r="C5" s="33" t="s">
        <v>26</v>
      </c>
      <c r="D5" s="360" t="s">
        <v>27</v>
      </c>
      <c r="E5" s="602" t="s">
        <v>505</v>
      </c>
      <c r="F5" s="360" t="s">
        <v>497</v>
      </c>
      <c r="G5" s="604" t="s">
        <v>299</v>
      </c>
      <c r="H5" s="360" t="s">
        <v>28</v>
      </c>
      <c r="I5" s="356" t="s">
        <v>29</v>
      </c>
      <c r="J5" s="367">
        <v>7300000</v>
      </c>
      <c r="K5" s="367">
        <f>5822389.5+13412.1+4470.7+716451.75+24588.85+716451.75+2235.35</f>
        <v>7299999.9999999991</v>
      </c>
      <c r="L5" s="358" t="s">
        <v>30</v>
      </c>
      <c r="M5" s="367">
        <f>595000+119000+119000+119000+119000+119000+119000</f>
        <v>1309000</v>
      </c>
      <c r="N5" s="367">
        <f>652083.5+22907.49</f>
        <v>674990.99</v>
      </c>
      <c r="O5" s="367">
        <f t="shared" ref="O5:O33" si="0">K5-M5</f>
        <v>5990999.9999999991</v>
      </c>
      <c r="P5" t="s">
        <v>506</v>
      </c>
      <c r="Q5" s="204" t="s">
        <v>498</v>
      </c>
      <c r="S5" s="5"/>
    </row>
    <row r="6" spans="1:19" ht="75.75" customHeight="1" outlineLevel="1" x14ac:dyDescent="0.25">
      <c r="A6" s="547"/>
      <c r="B6" s="355" t="s">
        <v>25</v>
      </c>
      <c r="C6" s="33" t="s">
        <v>32</v>
      </c>
      <c r="D6" s="360" t="s">
        <v>27</v>
      </c>
      <c r="E6" s="602"/>
      <c r="F6" s="360" t="s">
        <v>497</v>
      </c>
      <c r="G6" s="605"/>
      <c r="H6" s="360" t="s">
        <v>33</v>
      </c>
      <c r="I6" s="356" t="s">
        <v>29</v>
      </c>
      <c r="J6" s="367">
        <v>7300000</v>
      </c>
      <c r="K6" s="367">
        <v>7299999.9999999981</v>
      </c>
      <c r="L6" s="362" t="s">
        <v>34</v>
      </c>
      <c r="M6" s="367">
        <f>5474999.9+304166.7+304166.7+304166.7+304166.7+304166.7+304167</f>
        <v>7300000.4000000013</v>
      </c>
      <c r="N6" s="367">
        <f>1226756+8356.16+4154.77</f>
        <v>1239266.93</v>
      </c>
      <c r="O6" s="367">
        <f t="shared" si="0"/>
        <v>-0.40000000316649675</v>
      </c>
      <c r="P6" t="s">
        <v>35</v>
      </c>
      <c r="Q6" s="204" t="s">
        <v>498</v>
      </c>
      <c r="S6" s="5"/>
    </row>
    <row r="7" spans="1:19" ht="79.5" customHeight="1" outlineLevel="1" x14ac:dyDescent="0.25">
      <c r="A7" s="354">
        <v>2</v>
      </c>
      <c r="B7" s="355" t="s">
        <v>25</v>
      </c>
      <c r="C7" s="355" t="s">
        <v>36</v>
      </c>
      <c r="D7" s="360" t="s">
        <v>27</v>
      </c>
      <c r="E7" s="425" t="s">
        <v>507</v>
      </c>
      <c r="F7" s="360" t="s">
        <v>497</v>
      </c>
      <c r="G7" s="421" t="s">
        <v>300</v>
      </c>
      <c r="H7" s="360" t="s">
        <v>37</v>
      </c>
      <c r="I7" s="356" t="s">
        <v>29</v>
      </c>
      <c r="J7" s="367">
        <v>14060526.73</v>
      </c>
      <c r="K7" s="367">
        <v>14060526.73</v>
      </c>
      <c r="L7" s="366">
        <v>7.4999999999999997E-3</v>
      </c>
      <c r="M7" s="367">
        <f>5858552.73979552+234342.1+234342.1+98055764.9/418.43+98932204.4/422.17+104987604.2/448.01+97345708.3/415.4</f>
        <v>7264605.3397470377</v>
      </c>
      <c r="N7" s="367">
        <f>1294472.69934396+40254.3+39195.3+16095956/418.43+15796672.6/422.17+16433280.1/448.01+14866002.9/415.4</f>
        <v>1522275.409301799</v>
      </c>
      <c r="O7" s="367">
        <f t="shared" si="0"/>
        <v>6795921.3902529627</v>
      </c>
      <c r="P7" t="s">
        <v>31</v>
      </c>
      <c r="Q7" s="204" t="s">
        <v>498</v>
      </c>
      <c r="S7" s="5"/>
    </row>
    <row r="8" spans="1:19" ht="78.75" customHeight="1" outlineLevel="1" x14ac:dyDescent="0.25">
      <c r="A8" s="354">
        <v>3</v>
      </c>
      <c r="B8" s="355" t="s">
        <v>25</v>
      </c>
      <c r="C8" s="355" t="s">
        <v>38</v>
      </c>
      <c r="D8" s="360" t="s">
        <v>27</v>
      </c>
      <c r="E8" s="426" t="s">
        <v>513</v>
      </c>
      <c r="F8" s="360" t="s">
        <v>497</v>
      </c>
      <c r="G8" s="359" t="s">
        <v>301</v>
      </c>
      <c r="H8" s="360" t="s">
        <v>39</v>
      </c>
      <c r="I8" s="356" t="s">
        <v>29</v>
      </c>
      <c r="J8" s="367">
        <v>75000000</v>
      </c>
      <c r="K8" s="367"/>
      <c r="L8" s="366" t="s">
        <v>40</v>
      </c>
      <c r="M8" s="367"/>
      <c r="N8" s="367">
        <f>1932812.5+93750+93750+93750+93750+42000937.5/448.01+38943750/415.4</f>
        <v>2495312.5</v>
      </c>
      <c r="O8" s="367">
        <f t="shared" si="0"/>
        <v>0</v>
      </c>
      <c r="P8" s="355" t="s">
        <v>35</v>
      </c>
      <c r="Q8" s="204" t="s">
        <v>498</v>
      </c>
      <c r="S8" s="5"/>
    </row>
    <row r="9" spans="1:19" ht="81.75" customHeight="1" outlineLevel="1" x14ac:dyDescent="0.25">
      <c r="A9" s="547">
        <v>4</v>
      </c>
      <c r="B9" s="355" t="s">
        <v>25</v>
      </c>
      <c r="C9" s="548" t="s">
        <v>38</v>
      </c>
      <c r="D9" s="360" t="s">
        <v>27</v>
      </c>
      <c r="E9" s="601" t="s">
        <v>513</v>
      </c>
      <c r="F9" s="360" t="s">
        <v>497</v>
      </c>
      <c r="G9" s="552" t="s">
        <v>301</v>
      </c>
      <c r="H9" s="553" t="s">
        <v>41</v>
      </c>
      <c r="I9" s="356" t="s">
        <v>29</v>
      </c>
      <c r="J9" s="367">
        <v>10200000</v>
      </c>
      <c r="K9" s="367">
        <f>1075381.69+59500</f>
        <v>1134881.69</v>
      </c>
      <c r="L9" s="366" t="s">
        <v>30</v>
      </c>
      <c r="M9" s="367">
        <v>0</v>
      </c>
      <c r="N9" s="367">
        <f>200690.672577969+15587.2+6522152.1/418.43+6580448.3/422.17+6983221.5/448.01+6474922.9/415.4</f>
        <v>278626.67287819582</v>
      </c>
      <c r="O9" s="367">
        <f>K9-M9</f>
        <v>1134881.69</v>
      </c>
      <c r="P9" s="548" t="s">
        <v>35</v>
      </c>
      <c r="Q9" s="204" t="s">
        <v>498</v>
      </c>
      <c r="S9" s="5"/>
    </row>
    <row r="10" spans="1:19" ht="76.5" customHeight="1" outlineLevel="1" x14ac:dyDescent="0.25">
      <c r="A10" s="547"/>
      <c r="B10" s="355" t="s">
        <v>25</v>
      </c>
      <c r="C10" s="548"/>
      <c r="D10" s="360" t="s">
        <v>463</v>
      </c>
      <c r="E10" s="601"/>
      <c r="F10" s="360" t="s">
        <v>499</v>
      </c>
      <c r="G10" s="552"/>
      <c r="H10" s="553"/>
      <c r="I10" s="356" t="s">
        <v>2</v>
      </c>
      <c r="J10" s="367"/>
      <c r="K10" s="367">
        <v>244081445</v>
      </c>
      <c r="L10" s="366" t="s">
        <v>30</v>
      </c>
      <c r="M10" s="367"/>
      <c r="N10" s="367">
        <f>9774294.3+915305.4+915305.4+915305.4+915305.4</f>
        <v>13435515.900000002</v>
      </c>
      <c r="O10" s="367">
        <f>K10-M10</f>
        <v>244081445</v>
      </c>
      <c r="P10" s="548"/>
      <c r="Q10" s="204" t="s">
        <v>498</v>
      </c>
      <c r="S10" s="5"/>
    </row>
    <row r="11" spans="1:19" ht="76.5" customHeight="1" outlineLevel="1" x14ac:dyDescent="0.25">
      <c r="A11" s="547">
        <v>5</v>
      </c>
      <c r="B11" s="355" t="s">
        <v>25</v>
      </c>
      <c r="C11" s="548" t="s">
        <v>42</v>
      </c>
      <c r="D11" s="360" t="s">
        <v>126</v>
      </c>
      <c r="E11" s="552" t="s">
        <v>514</v>
      </c>
      <c r="F11" s="360" t="s">
        <v>497</v>
      </c>
      <c r="G11" s="552" t="s">
        <v>302</v>
      </c>
      <c r="H11" s="553" t="s">
        <v>43</v>
      </c>
      <c r="I11" s="356" t="s">
        <v>29</v>
      </c>
      <c r="J11" s="367">
        <v>10000000</v>
      </c>
      <c r="K11" s="367"/>
      <c r="L11" s="366" t="s">
        <v>44</v>
      </c>
      <c r="M11" s="367"/>
      <c r="N11" s="367">
        <v>50000</v>
      </c>
      <c r="O11" s="367">
        <f>K11-M11</f>
        <v>0</v>
      </c>
      <c r="P11" s="548" t="s">
        <v>45</v>
      </c>
      <c r="Q11" s="204" t="s">
        <v>498</v>
      </c>
      <c r="S11" s="5"/>
    </row>
    <row r="12" spans="1:19" ht="76.5" customHeight="1" outlineLevel="1" x14ac:dyDescent="0.25">
      <c r="A12" s="547"/>
      <c r="B12" s="355" t="s">
        <v>25</v>
      </c>
      <c r="C12" s="548"/>
      <c r="D12" s="360" t="s">
        <v>463</v>
      </c>
      <c r="E12" s="552"/>
      <c r="F12" s="360" t="s">
        <v>499</v>
      </c>
      <c r="G12" s="552"/>
      <c r="H12" s="553"/>
      <c r="I12" s="360" t="s">
        <v>2</v>
      </c>
      <c r="J12" s="367"/>
      <c r="K12" s="367"/>
      <c r="L12" s="366" t="s">
        <v>44</v>
      </c>
      <c r="M12" s="367"/>
      <c r="N12" s="367"/>
      <c r="O12" s="367">
        <f t="shared" si="0"/>
        <v>0</v>
      </c>
      <c r="P12" s="548"/>
      <c r="Q12" s="204" t="s">
        <v>498</v>
      </c>
      <c r="S12" s="5"/>
    </row>
    <row r="13" spans="1:19" ht="76.5" customHeight="1" outlineLevel="1" x14ac:dyDescent="0.25">
      <c r="A13" s="547">
        <v>6</v>
      </c>
      <c r="B13" s="355" t="s">
        <v>25</v>
      </c>
      <c r="C13" s="548" t="s">
        <v>46</v>
      </c>
      <c r="D13" s="360" t="s">
        <v>27</v>
      </c>
      <c r="E13" s="552" t="s">
        <v>515</v>
      </c>
      <c r="F13" s="360" t="s">
        <v>497</v>
      </c>
      <c r="G13" s="552" t="s">
        <v>303</v>
      </c>
      <c r="H13" s="553" t="s">
        <v>47</v>
      </c>
      <c r="I13" s="356" t="s">
        <v>29</v>
      </c>
      <c r="J13" s="367">
        <v>83000000</v>
      </c>
      <c r="K13" s="367"/>
      <c r="L13" s="366" t="s">
        <v>464</v>
      </c>
      <c r="M13" s="367"/>
      <c r="N13" s="367">
        <f>1930326.40003794+103750+103750+103750+103750+46481037.5/448.01+43097750/415.4</f>
        <v>2552826.4000379397</v>
      </c>
      <c r="O13" s="367">
        <f t="shared" si="0"/>
        <v>0</v>
      </c>
      <c r="P13" s="548" t="s">
        <v>35</v>
      </c>
      <c r="Q13" s="204" t="s">
        <v>498</v>
      </c>
      <c r="S13" s="5"/>
    </row>
    <row r="14" spans="1:19" ht="76.5" customHeight="1" outlineLevel="1" x14ac:dyDescent="0.25">
      <c r="A14" s="547"/>
      <c r="B14" s="355" t="s">
        <v>25</v>
      </c>
      <c r="C14" s="548"/>
      <c r="D14" s="360" t="s">
        <v>463</v>
      </c>
      <c r="E14" s="552"/>
      <c r="F14" s="360" t="s">
        <v>499</v>
      </c>
      <c r="G14" s="552"/>
      <c r="H14" s="553"/>
      <c r="I14" s="360" t="s">
        <v>2</v>
      </c>
      <c r="J14" s="367"/>
      <c r="K14" s="367"/>
      <c r="L14" s="366" t="s">
        <v>464</v>
      </c>
      <c r="M14" s="367"/>
      <c r="N14" s="367"/>
      <c r="O14" s="367">
        <f t="shared" si="0"/>
        <v>0</v>
      </c>
      <c r="P14" s="548"/>
      <c r="Q14" s="204" t="s">
        <v>498</v>
      </c>
      <c r="R14" s="8"/>
      <c r="S14" s="5"/>
    </row>
    <row r="15" spans="1:19" ht="96.75" customHeight="1" outlineLevel="1" x14ac:dyDescent="0.25">
      <c r="A15" s="547">
        <v>7</v>
      </c>
      <c r="B15" s="355" t="s">
        <v>25</v>
      </c>
      <c r="C15" s="548" t="s">
        <v>48</v>
      </c>
      <c r="D15" s="553" t="s">
        <v>49</v>
      </c>
      <c r="E15" s="552" t="s">
        <v>516</v>
      </c>
      <c r="F15" s="360" t="s">
        <v>497</v>
      </c>
      <c r="G15" s="552" t="s">
        <v>304</v>
      </c>
      <c r="H15" s="553" t="s">
        <v>50</v>
      </c>
      <c r="I15" s="356" t="s">
        <v>51</v>
      </c>
      <c r="J15" s="367">
        <f>35500000-1434414.8</f>
        <v>34065585.200000003</v>
      </c>
      <c r="K15" s="367">
        <v>34065585.200000003</v>
      </c>
      <c r="L15" s="362" t="s">
        <v>367</v>
      </c>
      <c r="M15" s="367">
        <f>3406558.5+438685248.4/386.33+457603003.3/402.99+440229555/387.69</f>
        <v>6813117.0000130683</v>
      </c>
      <c r="N15" s="367">
        <f>6927866.15+372600334/386.33+433310604.9/402.99+419066992.3/387.69</f>
        <v>10048499.749881966</v>
      </c>
      <c r="O15" s="367">
        <f t="shared" si="0"/>
        <v>27252468.199986935</v>
      </c>
      <c r="P15" s="548" t="s">
        <v>52</v>
      </c>
      <c r="Q15" s="204" t="s">
        <v>498</v>
      </c>
      <c r="R15" s="8"/>
      <c r="S15" s="5"/>
    </row>
    <row r="16" spans="1:19" ht="81.75" customHeight="1" outlineLevel="1" x14ac:dyDescent="0.25">
      <c r="A16" s="547"/>
      <c r="B16" s="355" t="s">
        <v>25</v>
      </c>
      <c r="C16" s="548"/>
      <c r="D16" s="553"/>
      <c r="E16" s="552"/>
      <c r="F16" s="360" t="s">
        <v>499</v>
      </c>
      <c r="G16" s="552"/>
      <c r="H16" s="553"/>
      <c r="I16" s="360" t="s">
        <v>2</v>
      </c>
      <c r="J16" s="367"/>
      <c r="K16" s="367">
        <v>3680136115.8000002</v>
      </c>
      <c r="L16" s="362" t="s">
        <v>367</v>
      </c>
      <c r="M16" s="367">
        <f>387003402.1+121967878.3+121967878.3+121967878.3</f>
        <v>752907037</v>
      </c>
      <c r="N16" s="367">
        <f>743758864.24+103594252.5+115493072.7+116104685.6</f>
        <v>1078950875.04</v>
      </c>
      <c r="O16" s="367">
        <f t="shared" si="0"/>
        <v>2927229078.8000002</v>
      </c>
      <c r="P16" s="548"/>
      <c r="Q16" s="204" t="s">
        <v>498</v>
      </c>
      <c r="R16" s="8"/>
      <c r="S16" s="5"/>
    </row>
    <row r="17" spans="1:18" s="5" customFormat="1" ht="66.75" customHeight="1" outlineLevel="1" x14ac:dyDescent="0.25">
      <c r="A17" s="547">
        <v>8</v>
      </c>
      <c r="B17" s="355" t="s">
        <v>25</v>
      </c>
      <c r="C17" s="548" t="s">
        <v>53</v>
      </c>
      <c r="D17" s="553" t="s">
        <v>49</v>
      </c>
      <c r="E17" s="552" t="s">
        <v>517</v>
      </c>
      <c r="F17" s="360" t="s">
        <v>497</v>
      </c>
      <c r="G17" s="552" t="s">
        <v>305</v>
      </c>
      <c r="H17" s="552" t="s">
        <v>54</v>
      </c>
      <c r="I17" s="356" t="s">
        <v>51</v>
      </c>
      <c r="J17" s="34">
        <f>40000000-2500000-1500000</f>
        <v>36000000</v>
      </c>
      <c r="K17" s="367">
        <v>25459684.080000002</v>
      </c>
      <c r="L17" s="366" t="s">
        <v>367</v>
      </c>
      <c r="M17" s="367">
        <v>0</v>
      </c>
      <c r="N17" s="367">
        <f>4091306.45123489+373977422.6/403.57</f>
        <v>5017979.4512101114</v>
      </c>
      <c r="O17" s="367">
        <f t="shared" si="0"/>
        <v>25459684.080000002</v>
      </c>
      <c r="P17" s="548" t="s">
        <v>52</v>
      </c>
      <c r="Q17" s="204" t="s">
        <v>498</v>
      </c>
      <c r="R17" s="8"/>
    </row>
    <row r="18" spans="1:18" s="5" customFormat="1" ht="58.5" customHeight="1" outlineLevel="1" x14ac:dyDescent="0.25">
      <c r="A18" s="547"/>
      <c r="B18" s="355" t="s">
        <v>25</v>
      </c>
      <c r="C18" s="548"/>
      <c r="D18" s="553"/>
      <c r="E18" s="552"/>
      <c r="F18" s="360" t="s">
        <v>499</v>
      </c>
      <c r="G18" s="552"/>
      <c r="H18" s="552"/>
      <c r="I18" s="360" t="s">
        <v>2</v>
      </c>
      <c r="J18" s="34"/>
      <c r="K18" s="367">
        <v>1298916975.1000001</v>
      </c>
      <c r="L18" s="366" t="s">
        <v>367</v>
      </c>
      <c r="M18" s="367">
        <v>563212.19999999995</v>
      </c>
      <c r="N18" s="367">
        <f>165583419.3+41681454.8</f>
        <v>207264874.10000002</v>
      </c>
      <c r="O18" s="367">
        <f t="shared" si="0"/>
        <v>1298353762.9000001</v>
      </c>
      <c r="P18" s="548"/>
      <c r="Q18" s="204" t="s">
        <v>498</v>
      </c>
      <c r="R18" s="8"/>
    </row>
    <row r="19" spans="1:18" s="5" customFormat="1" ht="70.5" customHeight="1" outlineLevel="1" x14ac:dyDescent="0.25">
      <c r="A19" s="547">
        <v>9</v>
      </c>
      <c r="B19" s="361" t="s">
        <v>25</v>
      </c>
      <c r="C19" s="548" t="s">
        <v>55</v>
      </c>
      <c r="D19" s="553" t="s">
        <v>49</v>
      </c>
      <c r="E19" s="602" t="s">
        <v>508</v>
      </c>
      <c r="F19" s="360" t="s">
        <v>497</v>
      </c>
      <c r="G19" s="603" t="s">
        <v>306</v>
      </c>
      <c r="H19" s="552" t="s">
        <v>56</v>
      </c>
      <c r="I19" s="356" t="s">
        <v>51</v>
      </c>
      <c r="J19" s="34">
        <v>23194486</v>
      </c>
      <c r="K19" s="367">
        <v>16165176.98</v>
      </c>
      <c r="L19" s="366" t="s">
        <v>367</v>
      </c>
      <c r="M19" s="367">
        <v>0</v>
      </c>
      <c r="N19" s="367">
        <f>1316813.632+122778919.2/386.33+153358408.7/402.99+182294474.3/387.69</f>
        <v>2485380.2321278523</v>
      </c>
      <c r="O19" s="367">
        <f t="shared" si="0"/>
        <v>16165176.98</v>
      </c>
      <c r="P19" s="548" t="s">
        <v>52</v>
      </c>
      <c r="Q19" s="204" t="s">
        <v>498</v>
      </c>
      <c r="R19" s="8"/>
    </row>
    <row r="20" spans="1:18" s="5" customFormat="1" ht="66.75" customHeight="1" outlineLevel="1" x14ac:dyDescent="0.25">
      <c r="A20" s="547"/>
      <c r="B20" s="361" t="s">
        <v>25</v>
      </c>
      <c r="C20" s="548"/>
      <c r="D20" s="553"/>
      <c r="E20" s="602"/>
      <c r="F20" s="360" t="s">
        <v>499</v>
      </c>
      <c r="G20" s="603"/>
      <c r="H20" s="552"/>
      <c r="I20" s="360" t="s">
        <v>2</v>
      </c>
      <c r="J20" s="34"/>
      <c r="K20" s="367">
        <f>1715005397.1+206000000</f>
        <v>1921005397.0999999</v>
      </c>
      <c r="L20" s="366" t="s">
        <v>367</v>
      </c>
      <c r="M20" s="367">
        <v>91463799.799999997</v>
      </c>
      <c r="N20" s="367">
        <f>119885553.7+36155098.5+43333756.7+53344969.4</f>
        <v>252719378.29999998</v>
      </c>
      <c r="O20" s="367">
        <f t="shared" si="0"/>
        <v>1829541597.3</v>
      </c>
      <c r="P20" s="548"/>
      <c r="Q20" s="204" t="s">
        <v>498</v>
      </c>
      <c r="R20" s="8"/>
    </row>
    <row r="21" spans="1:18" s="5" customFormat="1" ht="48" customHeight="1" outlineLevel="1" x14ac:dyDescent="0.25">
      <c r="A21" s="547">
        <v>10</v>
      </c>
      <c r="B21" s="361" t="s">
        <v>57</v>
      </c>
      <c r="C21" s="548"/>
      <c r="D21" s="553"/>
      <c r="E21" s="602"/>
      <c r="F21" s="360" t="s">
        <v>497</v>
      </c>
      <c r="G21" s="552" t="s">
        <v>307</v>
      </c>
      <c r="H21" s="552" t="s">
        <v>56</v>
      </c>
      <c r="I21" s="356" t="s">
        <v>51</v>
      </c>
      <c r="J21" s="367">
        <v>16662617.070000002</v>
      </c>
      <c r="K21" s="367">
        <v>16662617.070000002</v>
      </c>
      <c r="L21" s="366" t="s">
        <v>367</v>
      </c>
      <c r="M21" s="367"/>
      <c r="N21" s="367">
        <f>2194958+182027405/386.38+218562808/403.19+223111756.9/387.69</f>
        <v>3783641.8022023076</v>
      </c>
      <c r="O21" s="367">
        <f t="shared" si="0"/>
        <v>16662617.070000002</v>
      </c>
      <c r="P21" s="548" t="s">
        <v>52</v>
      </c>
      <c r="Q21" s="204" t="s">
        <v>498</v>
      </c>
      <c r="R21" s="8"/>
    </row>
    <row r="22" spans="1:18" s="5" customFormat="1" ht="54.75" customHeight="1" outlineLevel="1" x14ac:dyDescent="0.25">
      <c r="A22" s="547"/>
      <c r="B22" s="361" t="s">
        <v>57</v>
      </c>
      <c r="C22" s="548"/>
      <c r="D22" s="553"/>
      <c r="E22" s="602"/>
      <c r="F22" s="360" t="s">
        <v>499</v>
      </c>
      <c r="G22" s="552"/>
      <c r="H22" s="552"/>
      <c r="I22" s="356" t="s">
        <v>2</v>
      </c>
      <c r="J22" s="41"/>
      <c r="K22" s="367">
        <v>2003005775.2</v>
      </c>
      <c r="L22" s="366" t="s">
        <v>367</v>
      </c>
      <c r="M22" s="367"/>
      <c r="N22" s="367">
        <f>238604865.8+56631905+65163658.9+69156989.1</f>
        <v>429557418.79999995</v>
      </c>
      <c r="O22" s="367">
        <f t="shared" si="0"/>
        <v>2003005775.2</v>
      </c>
      <c r="P22" s="548"/>
      <c r="Q22" s="204" t="s">
        <v>498</v>
      </c>
      <c r="R22" s="8"/>
    </row>
    <row r="23" spans="1:18" s="5" customFormat="1" ht="57.75" customHeight="1" outlineLevel="1" x14ac:dyDescent="0.25">
      <c r="A23" s="547">
        <v>11</v>
      </c>
      <c r="B23" s="361" t="s">
        <v>25</v>
      </c>
      <c r="C23" s="548" t="s">
        <v>58</v>
      </c>
      <c r="D23" s="553" t="s">
        <v>59</v>
      </c>
      <c r="E23" s="601" t="s">
        <v>518</v>
      </c>
      <c r="F23" s="360" t="s">
        <v>497</v>
      </c>
      <c r="G23" s="552" t="s">
        <v>305</v>
      </c>
      <c r="H23" s="553" t="s">
        <v>60</v>
      </c>
      <c r="I23" s="356" t="s">
        <v>61</v>
      </c>
      <c r="J23" s="36">
        <v>13988153</v>
      </c>
      <c r="K23" s="367">
        <v>8262785.6411363389</v>
      </c>
      <c r="L23" s="366">
        <v>3.1399999999999997E-2</v>
      </c>
      <c r="M23" s="367">
        <f>1430873.60020494+107795234.9/520.68+109739226/530.07+105995907.4/511.99</f>
        <v>2051956.5004417119</v>
      </c>
      <c r="N23" s="367">
        <f>1219413.93+55848657.5/520.68+55104222/530.07+51579050.2/511.99</f>
        <v>1531373.7301682285</v>
      </c>
      <c r="O23" s="367">
        <f t="shared" si="0"/>
        <v>6210829.1406946275</v>
      </c>
      <c r="P23" s="548" t="s">
        <v>52</v>
      </c>
      <c r="Q23" s="204" t="s">
        <v>498</v>
      </c>
      <c r="R23" s="8"/>
    </row>
    <row r="24" spans="1:18" s="5" customFormat="1" ht="59.25" customHeight="1" outlineLevel="1" x14ac:dyDescent="0.25">
      <c r="A24" s="547"/>
      <c r="B24" s="361" t="s">
        <v>25</v>
      </c>
      <c r="C24" s="548"/>
      <c r="D24" s="553"/>
      <c r="E24" s="602"/>
      <c r="F24" s="360" t="s">
        <v>499</v>
      </c>
      <c r="G24" s="552"/>
      <c r="H24" s="553"/>
      <c r="I24" s="360" t="s">
        <v>2</v>
      </c>
      <c r="J24" s="36"/>
      <c r="K24" s="367">
        <v>1194787815</v>
      </c>
      <c r="L24" s="366">
        <v>3.1399999999999997E-2</v>
      </c>
      <c r="M24" s="367">
        <f>209123295.3+29868621.8+29868621.8+29868621.8</f>
        <v>298729160.70000005</v>
      </c>
      <c r="N24" s="367">
        <f>177460224.6+15474933+14998180+14534453</f>
        <v>222467790.59999999</v>
      </c>
      <c r="O24" s="367">
        <f t="shared" si="0"/>
        <v>896058654.29999995</v>
      </c>
      <c r="P24" s="548"/>
      <c r="Q24" s="204" t="s">
        <v>498</v>
      </c>
      <c r="R24" s="8"/>
    </row>
    <row r="25" spans="1:18" s="5" customFormat="1" ht="51.75" customHeight="1" outlineLevel="1" x14ac:dyDescent="0.25">
      <c r="A25" s="547">
        <v>12</v>
      </c>
      <c r="B25" s="361" t="s">
        <v>62</v>
      </c>
      <c r="C25" s="548"/>
      <c r="D25" s="553"/>
      <c r="E25" s="602"/>
      <c r="F25" s="360" t="s">
        <v>497</v>
      </c>
      <c r="G25" s="552" t="s">
        <v>308</v>
      </c>
      <c r="H25" s="553" t="s">
        <v>60</v>
      </c>
      <c r="I25" s="356" t="s">
        <v>61</v>
      </c>
      <c r="J25" s="36">
        <v>10098535</v>
      </c>
      <c r="K25" s="367">
        <v>10121386.37101347</v>
      </c>
      <c r="L25" s="366">
        <v>3.1399999999999997E-2</v>
      </c>
      <c r="M25" s="367">
        <f>1520990.1+136750579/520.29+138244588/530.59+133398381/511.99</f>
        <v>2304923.0035929154</v>
      </c>
      <c r="N25" s="367">
        <f>832426.027338+83294453/525+70252782/520.29+69454072/530.59+64924992/511.99</f>
        <v>1383817.1311368861</v>
      </c>
      <c r="O25" s="367">
        <f t="shared" si="0"/>
        <v>7816463.3674205542</v>
      </c>
      <c r="P25" s="548" t="s">
        <v>52</v>
      </c>
      <c r="Q25" s="204" t="s">
        <v>498</v>
      </c>
      <c r="R25" s="8"/>
    </row>
    <row r="26" spans="1:18" s="5" customFormat="1" ht="47.25" customHeight="1" outlineLevel="1" x14ac:dyDescent="0.25">
      <c r="A26" s="547"/>
      <c r="B26" s="361" t="s">
        <v>62</v>
      </c>
      <c r="C26" s="548"/>
      <c r="D26" s="553"/>
      <c r="E26" s="602"/>
      <c r="F26" s="360" t="s">
        <v>499</v>
      </c>
      <c r="G26" s="552"/>
      <c r="H26" s="553"/>
      <c r="I26" s="360" t="s">
        <v>2</v>
      </c>
      <c r="J26" s="36"/>
      <c r="K26" s="367">
        <v>794162455.89999998</v>
      </c>
      <c r="L26" s="366">
        <v>3.1399999999999997E-2</v>
      </c>
      <c r="M26" s="367">
        <f>123592049.7+20623615+20310837+20310837</f>
        <v>184837338.69999999</v>
      </c>
      <c r="N26" s="367">
        <f>78534680.8+10527955+10204165+9885285</f>
        <v>109152085.8</v>
      </c>
      <c r="O26" s="367">
        <f t="shared" si="0"/>
        <v>609325117.20000005</v>
      </c>
      <c r="P26" s="548"/>
      <c r="Q26" s="204" t="s">
        <v>498</v>
      </c>
      <c r="R26" s="8"/>
    </row>
    <row r="27" spans="1:18" s="5" customFormat="1" ht="48" customHeight="1" outlineLevel="1" x14ac:dyDescent="0.25">
      <c r="A27" s="354">
        <v>13</v>
      </c>
      <c r="B27" s="361" t="s">
        <v>25</v>
      </c>
      <c r="C27" s="548" t="s">
        <v>63</v>
      </c>
      <c r="D27" s="553" t="s">
        <v>64</v>
      </c>
      <c r="E27" s="601" t="s">
        <v>519</v>
      </c>
      <c r="F27" s="360" t="s">
        <v>497</v>
      </c>
      <c r="G27" s="359" t="s">
        <v>309</v>
      </c>
      <c r="H27" s="360" t="s">
        <v>65</v>
      </c>
      <c r="I27" s="356" t="s">
        <v>51</v>
      </c>
      <c r="J27" s="367">
        <v>19600000</v>
      </c>
      <c r="K27" s="367">
        <v>19419334.870000001</v>
      </c>
      <c r="L27" s="368">
        <v>5.0000000000000001E-3</v>
      </c>
      <c r="M27" s="367">
        <f>9716960.66852489+189584407.5/488.5+172026989.7/443.26+153375144/395.2+150045288.9/386.62+156421689.8/403.05+150324717.3/387.34</f>
        <v>12045530.668648943</v>
      </c>
      <c r="N27" s="367">
        <f>1129921.93024286+16077756.3/488.5+14096288.6/443.26+12233850.7/395.2+11546870.2/386.62+11574265.9/403.05+10860006.5/387.34</f>
        <v>1312212.2301338713</v>
      </c>
      <c r="O27" s="367">
        <f t="shared" si="0"/>
        <v>7373804.2013510577</v>
      </c>
      <c r="P27" s="355" t="s">
        <v>52</v>
      </c>
      <c r="Q27" s="204" t="s">
        <v>498</v>
      </c>
      <c r="R27" s="8"/>
    </row>
    <row r="28" spans="1:18" s="5" customFormat="1" ht="60" customHeight="1" outlineLevel="1" x14ac:dyDescent="0.25">
      <c r="A28" s="354">
        <v>14</v>
      </c>
      <c r="B28" s="361" t="s">
        <v>62</v>
      </c>
      <c r="C28" s="548"/>
      <c r="D28" s="553"/>
      <c r="E28" s="601"/>
      <c r="F28" s="360" t="s">
        <v>497</v>
      </c>
      <c r="G28" s="359" t="s">
        <v>310</v>
      </c>
      <c r="H28" s="360" t="s">
        <v>66</v>
      </c>
      <c r="I28" s="356" t="s">
        <v>51</v>
      </c>
      <c r="J28" s="367">
        <v>297276.53999999998</v>
      </c>
      <c r="K28" s="367">
        <v>297276.53999999998</v>
      </c>
      <c r="L28" s="366" t="s">
        <v>67</v>
      </c>
      <c r="M28" s="367">
        <f>257638.543537781+4361667/440.15+3916234/395.2+3837157/387.22+3994520/403.1</f>
        <v>297276.54625526333</v>
      </c>
      <c r="N28" s="367">
        <f>229541.53251276+1912186/489.99+1556591/440.15+1259898/395.2+1094284/387.22+991707/403.1</f>
        <v>245454.73643449965</v>
      </c>
      <c r="O28" s="367">
        <f t="shared" si="0"/>
        <v>-6.255263346247375E-3</v>
      </c>
      <c r="P28" s="355" t="s">
        <v>52</v>
      </c>
      <c r="Q28" s="204" t="s">
        <v>498</v>
      </c>
      <c r="R28" s="8"/>
    </row>
    <row r="29" spans="1:18" s="5" customFormat="1" ht="51" customHeight="1" outlineLevel="1" x14ac:dyDescent="0.25">
      <c r="A29" s="354">
        <v>15</v>
      </c>
      <c r="B29" s="361" t="s">
        <v>62</v>
      </c>
      <c r="C29" s="554" t="s">
        <v>68</v>
      </c>
      <c r="D29" s="553" t="s">
        <v>69</v>
      </c>
      <c r="E29" s="601" t="s">
        <v>520</v>
      </c>
      <c r="F29" s="360" t="s">
        <v>497</v>
      </c>
      <c r="G29" s="359" t="s">
        <v>311</v>
      </c>
      <c r="H29" s="360" t="s">
        <v>70</v>
      </c>
      <c r="I29" s="360" t="s">
        <v>71</v>
      </c>
      <c r="J29" s="367">
        <v>1571940173.3299999</v>
      </c>
      <c r="K29" s="367">
        <v>1598519063</v>
      </c>
      <c r="L29" s="368">
        <v>1.7999999999999999E-2</v>
      </c>
      <c r="M29" s="367">
        <f>1030178646.5+123394332/3.026+109815247/2.693+110426917/2.708</f>
        <v>1152512749.7454691</v>
      </c>
      <c r="N29" s="367">
        <f>226837831.925937+13873556/3.026+11211247/2.693+10505503/2.708</f>
        <v>239465155.16541752</v>
      </c>
      <c r="O29" s="367">
        <f t="shared" si="0"/>
        <v>446006313.25453091</v>
      </c>
      <c r="P29" s="355" t="s">
        <v>52</v>
      </c>
      <c r="Q29" s="204" t="s">
        <v>498</v>
      </c>
      <c r="R29" s="8"/>
    </row>
    <row r="30" spans="1:18" s="5" customFormat="1" ht="41.25" customHeight="1" outlineLevel="1" x14ac:dyDescent="0.25">
      <c r="A30" s="354">
        <v>16</v>
      </c>
      <c r="B30" s="355" t="s">
        <v>72</v>
      </c>
      <c r="C30" s="554"/>
      <c r="D30" s="553"/>
      <c r="E30" s="601"/>
      <c r="F30" s="360" t="s">
        <v>497</v>
      </c>
      <c r="G30" s="359" t="s">
        <v>312</v>
      </c>
      <c r="H30" s="360" t="s">
        <v>70</v>
      </c>
      <c r="I30" s="360" t="s">
        <v>71</v>
      </c>
      <c r="J30" s="367">
        <v>3796371795.6700001</v>
      </c>
      <c r="K30" s="367">
        <v>3861444249</v>
      </c>
      <c r="L30" s="368">
        <v>1.7999999999999999E-2</v>
      </c>
      <c r="M30" s="367">
        <f>2513837447.56+291897058.6/3.026+259774877.3/2.693+261800600/2.714</f>
        <v>2803226467.7953391</v>
      </c>
      <c r="N30" s="367">
        <f>553224853.256799+32762341/3.026+26475306.9/2.693+24863667/2.714</f>
        <v>583044220.17120647</v>
      </c>
      <c r="O30" s="367">
        <f t="shared" si="0"/>
        <v>1058217781.2046609</v>
      </c>
      <c r="P30" s="355" t="s">
        <v>52</v>
      </c>
      <c r="Q30" s="204" t="s">
        <v>498</v>
      </c>
      <c r="R30" s="8"/>
    </row>
    <row r="31" spans="1:18" s="5" customFormat="1" ht="69" customHeight="1" outlineLevel="1" x14ac:dyDescent="0.25">
      <c r="A31" s="547">
        <v>17</v>
      </c>
      <c r="B31" s="361" t="s">
        <v>73</v>
      </c>
      <c r="C31" s="548" t="s">
        <v>74</v>
      </c>
      <c r="D31" s="553" t="s">
        <v>64</v>
      </c>
      <c r="E31" s="601" t="s">
        <v>521</v>
      </c>
      <c r="F31" s="360" t="s">
        <v>497</v>
      </c>
      <c r="G31" s="552" t="s">
        <v>313</v>
      </c>
      <c r="H31" s="553" t="s">
        <v>75</v>
      </c>
      <c r="I31" s="356" t="s">
        <v>51</v>
      </c>
      <c r="J31" s="367">
        <v>4846628.13</v>
      </c>
      <c r="K31" s="367">
        <v>4737831.22</v>
      </c>
      <c r="L31" s="366">
        <v>7.4999999999999997E-3</v>
      </c>
      <c r="M31" s="367">
        <f>616176.07+18729201/386.44+19508050/402.51+18791723/387.73</f>
        <v>761574.0728560643</v>
      </c>
      <c r="N31" s="367">
        <f>353441.51+5923430/386.44+6198654/402.51+5835491.6/387.73</f>
        <v>399220.11103502067</v>
      </c>
      <c r="O31" s="367">
        <f t="shared" si="0"/>
        <v>3976257.1471439353</v>
      </c>
      <c r="P31" s="355" t="s">
        <v>76</v>
      </c>
      <c r="Q31" s="204" t="s">
        <v>498</v>
      </c>
      <c r="R31" s="8"/>
    </row>
    <row r="32" spans="1:18" s="5" customFormat="1" ht="69" customHeight="1" outlineLevel="1" x14ac:dyDescent="0.25">
      <c r="A32" s="547"/>
      <c r="B32" s="361" t="s">
        <v>73</v>
      </c>
      <c r="C32" s="548"/>
      <c r="D32" s="553"/>
      <c r="E32" s="601"/>
      <c r="F32" s="360" t="s">
        <v>499</v>
      </c>
      <c r="G32" s="552"/>
      <c r="H32" s="553"/>
      <c r="I32" s="360" t="s">
        <v>2</v>
      </c>
      <c r="J32" s="367">
        <v>1740568345.9000001</v>
      </c>
      <c r="K32" s="367">
        <v>1740568345.9000001</v>
      </c>
      <c r="L32" s="366">
        <v>7.4999999999999997E-3</v>
      </c>
      <c r="M32" s="367">
        <f>247100359+17402579+17402579+17402579</f>
        <v>299308096</v>
      </c>
      <c r="N32" s="367">
        <f>128165336.87+5554115.8+5580740.4+5454641.8</f>
        <v>144754834.87</v>
      </c>
      <c r="O32" s="367">
        <f t="shared" si="0"/>
        <v>1441260249.9000001</v>
      </c>
      <c r="P32" s="355" t="s">
        <v>76</v>
      </c>
      <c r="Q32" s="204" t="s">
        <v>498</v>
      </c>
      <c r="R32" s="8"/>
    </row>
    <row r="33" spans="1:19" ht="87" customHeight="1" outlineLevel="1" x14ac:dyDescent="0.25">
      <c r="A33" s="354">
        <v>18</v>
      </c>
      <c r="B33" s="361" t="s">
        <v>77</v>
      </c>
      <c r="C33" s="355" t="s">
        <v>78</v>
      </c>
      <c r="D33" s="360" t="s">
        <v>27</v>
      </c>
      <c r="E33" s="359" t="s">
        <v>522</v>
      </c>
      <c r="F33" s="360" t="s">
        <v>497</v>
      </c>
      <c r="G33" s="359" t="s">
        <v>314</v>
      </c>
      <c r="H33" s="359" t="s">
        <v>79</v>
      </c>
      <c r="I33" s="356" t="s">
        <v>29</v>
      </c>
      <c r="J33" s="39">
        <v>17895215.550000001</v>
      </c>
      <c r="K33" s="367">
        <v>17895215.550000001</v>
      </c>
      <c r="L33" s="366">
        <v>7.4999999999999997E-3</v>
      </c>
      <c r="M33" s="367">
        <f>7748628.1+130294835.3/415.04+137735052.2/438.74+131942984.6/420.29</f>
        <v>8690427.6999388505</v>
      </c>
      <c r="N33" s="367">
        <f>2568161.28+12471869/415.04+3320320/414.34+16171473.8/438.74+15002335.6/420.29</f>
        <v>2678778.6955025364</v>
      </c>
      <c r="O33" s="367">
        <f t="shared" si="0"/>
        <v>9204787.8500611503</v>
      </c>
      <c r="P33" s="355" t="s">
        <v>52</v>
      </c>
      <c r="Q33" s="204" t="s">
        <v>498</v>
      </c>
      <c r="R33" s="8"/>
      <c r="S33" s="5"/>
    </row>
    <row r="34" spans="1:19" ht="55.5" customHeight="1" outlineLevel="1" x14ac:dyDescent="0.25">
      <c r="A34" s="547">
        <v>19</v>
      </c>
      <c r="B34" s="361" t="s">
        <v>80</v>
      </c>
      <c r="C34" s="548" t="s">
        <v>81</v>
      </c>
      <c r="D34" s="548" t="s">
        <v>277</v>
      </c>
      <c r="E34" s="548" t="s">
        <v>523</v>
      </c>
      <c r="F34" s="355" t="s">
        <v>497</v>
      </c>
      <c r="G34" s="548" t="s">
        <v>315</v>
      </c>
      <c r="H34" s="355" t="s">
        <v>82</v>
      </c>
      <c r="I34" s="356" t="s">
        <v>29</v>
      </c>
      <c r="J34" s="42">
        <v>22000000</v>
      </c>
      <c r="K34" s="367">
        <v>21247150.510000002</v>
      </c>
      <c r="L34" s="358" t="s">
        <v>83</v>
      </c>
      <c r="M34" s="367">
        <f>1047000+1047000+1047000+1047000+1047000+1047000+1047000+1047000</f>
        <v>8376000</v>
      </c>
      <c r="N34" s="367">
        <f>2375876.3+237670.2</f>
        <v>2613546.5</v>
      </c>
      <c r="O34" s="367">
        <f>J34-M34</f>
        <v>13624000</v>
      </c>
      <c r="P34" s="548" t="s">
        <v>439</v>
      </c>
      <c r="Q34" s="204" t="s">
        <v>498</v>
      </c>
      <c r="R34" s="8"/>
      <c r="S34" s="5"/>
    </row>
    <row r="35" spans="1:19" ht="68.25" customHeight="1" outlineLevel="1" x14ac:dyDescent="0.25">
      <c r="A35" s="547"/>
      <c r="B35" s="361" t="s">
        <v>80</v>
      </c>
      <c r="C35" s="548"/>
      <c r="D35" s="548"/>
      <c r="E35" s="548"/>
      <c r="F35" s="355" t="s">
        <v>497</v>
      </c>
      <c r="G35" s="548"/>
      <c r="H35" s="355" t="s">
        <v>85</v>
      </c>
      <c r="I35" s="356" t="s">
        <v>29</v>
      </c>
      <c r="J35" s="42">
        <v>14500000</v>
      </c>
      <c r="K35" s="367">
        <v>14491281.059999999</v>
      </c>
      <c r="L35" s="358" t="s">
        <v>30</v>
      </c>
      <c r="M35" s="367">
        <f>241000+241000+241000+241000+241000+241000+241000+241000</f>
        <v>1928000</v>
      </c>
      <c r="N35" s="367">
        <f>628643.7+48048.75</f>
        <v>676692.45</v>
      </c>
      <c r="O35" s="367">
        <f>J35-M35</f>
        <v>12572000</v>
      </c>
      <c r="P35" s="548"/>
      <c r="Q35" s="204" t="s">
        <v>498</v>
      </c>
      <c r="R35" s="8"/>
      <c r="S35" s="5"/>
    </row>
    <row r="36" spans="1:19" ht="62.25" customHeight="1" outlineLevel="1" x14ac:dyDescent="0.25">
      <c r="A36" s="547"/>
      <c r="B36" s="361" t="s">
        <v>80</v>
      </c>
      <c r="C36" s="548"/>
      <c r="D36" s="548"/>
      <c r="E36" s="548"/>
      <c r="F36" s="355" t="s">
        <v>497</v>
      </c>
      <c r="G36" s="548"/>
      <c r="H36" s="355" t="s">
        <v>86</v>
      </c>
      <c r="I36" s="356" t="s">
        <v>29</v>
      </c>
      <c r="J36" s="42">
        <v>14500000</v>
      </c>
      <c r="K36" s="367">
        <v>14500000.000000002</v>
      </c>
      <c r="L36" s="358" t="s">
        <v>87</v>
      </c>
      <c r="M36" s="367">
        <f>2519999.6+630000+630000+630000+630000</f>
        <v>5039999.5999999996</v>
      </c>
      <c r="N36" s="367">
        <f>2336020+207340.05</f>
        <v>2543360.0499999998</v>
      </c>
      <c r="O36" s="367">
        <f>J36-M36</f>
        <v>9460000.4000000004</v>
      </c>
      <c r="P36" s="548"/>
      <c r="Q36" s="204" t="s">
        <v>498</v>
      </c>
      <c r="R36" s="8"/>
      <c r="S36" s="5"/>
    </row>
    <row r="37" spans="1:19" ht="94.5" customHeight="1" outlineLevel="1" x14ac:dyDescent="0.25">
      <c r="A37" s="354">
        <v>20</v>
      </c>
      <c r="B37" s="355" t="s">
        <v>88</v>
      </c>
      <c r="C37" s="361" t="s">
        <v>89</v>
      </c>
      <c r="D37" s="360" t="s">
        <v>69</v>
      </c>
      <c r="E37" s="360" t="s">
        <v>524</v>
      </c>
      <c r="F37" s="360" t="s">
        <v>497</v>
      </c>
      <c r="G37" s="359" t="s">
        <v>316</v>
      </c>
      <c r="H37" s="360" t="s">
        <v>90</v>
      </c>
      <c r="I37" s="360" t="s">
        <v>71</v>
      </c>
      <c r="J37" s="363">
        <v>26409000000</v>
      </c>
      <c r="K37" s="367">
        <v>26399286331</v>
      </c>
      <c r="L37" s="366">
        <v>7.4999999999999997E-3</v>
      </c>
      <c r="M37" s="367">
        <f>7357230331.16835+1131704010/2.615+1153775484/2.666</f>
        <v>8222778331.1683502</v>
      </c>
      <c r="N37" s="367">
        <f>2607354309.06995+188428717.2/2.615+185536580.8/2.666</f>
        <v>2749004796.0961809</v>
      </c>
      <c r="O37" s="357">
        <f t="shared" ref="O37:O45" si="1">K37-M37</f>
        <v>18176507999.83165</v>
      </c>
      <c r="P37" s="355" t="s">
        <v>91</v>
      </c>
      <c r="Q37" s="204" t="s">
        <v>498</v>
      </c>
      <c r="R37" s="8"/>
      <c r="S37" s="5"/>
    </row>
    <row r="38" spans="1:19" ht="71.25" customHeight="1" outlineLevel="1" x14ac:dyDescent="0.25">
      <c r="A38" s="354">
        <v>21</v>
      </c>
      <c r="B38" s="361" t="s">
        <v>25</v>
      </c>
      <c r="C38" s="355" t="s">
        <v>92</v>
      </c>
      <c r="D38" s="355" t="s">
        <v>93</v>
      </c>
      <c r="E38" s="355" t="s">
        <v>525</v>
      </c>
      <c r="F38" s="355" t="s">
        <v>497</v>
      </c>
      <c r="G38" s="359" t="s">
        <v>317</v>
      </c>
      <c r="H38" s="360" t="s">
        <v>94</v>
      </c>
      <c r="I38" s="356" t="s">
        <v>51</v>
      </c>
      <c r="J38" s="367">
        <v>8988290</v>
      </c>
      <c r="K38" s="367">
        <v>8988290</v>
      </c>
      <c r="L38" s="368">
        <v>5.0000000000000001E-3</v>
      </c>
      <c r="M38" s="367">
        <f>4199999.97+600000+600000+289644000/482.74+290820000/484.7+286458000/477.43+600000+600000+231939215.4/394.26</f>
        <v>8988289.9699999988</v>
      </c>
      <c r="N38" s="367">
        <f>838542.942447016+522591.6/394.26</f>
        <v>839868.44237092405</v>
      </c>
      <c r="O38" s="357">
        <f t="shared" si="1"/>
        <v>3.0000001192092896E-2</v>
      </c>
      <c r="P38" s="355" t="s">
        <v>76</v>
      </c>
      <c r="Q38" s="204" t="s">
        <v>498</v>
      </c>
      <c r="R38" s="8"/>
      <c r="S38" s="5"/>
    </row>
    <row r="39" spans="1:19" ht="73.5" customHeight="1" outlineLevel="1" x14ac:dyDescent="0.25">
      <c r="A39" s="354">
        <v>22</v>
      </c>
      <c r="B39" s="361" t="s">
        <v>95</v>
      </c>
      <c r="C39" s="355" t="s">
        <v>92</v>
      </c>
      <c r="D39" s="355" t="s">
        <v>96</v>
      </c>
      <c r="E39" s="355" t="s">
        <v>526</v>
      </c>
      <c r="F39" s="355" t="s">
        <v>497</v>
      </c>
      <c r="G39" s="43" t="s">
        <v>318</v>
      </c>
      <c r="H39" s="367" t="s">
        <v>97</v>
      </c>
      <c r="I39" s="40" t="s">
        <v>2</v>
      </c>
      <c r="J39" s="367">
        <v>1757100000</v>
      </c>
      <c r="K39" s="367">
        <v>1757100000</v>
      </c>
      <c r="L39" s="366">
        <v>7.4999999999999997E-3</v>
      </c>
      <c r="M39" s="367">
        <f>439275000+62753571.5+62753571.5+62753571.3+62753571.4+62753571.4+62753571.4+62753571.5+62753571.5+62753571.5</f>
        <v>1004057142.9999999</v>
      </c>
      <c r="N39" s="367">
        <f>303383430.5+3313904.4+3032802.7+3076644.3+2814884.5</f>
        <v>315621666.39999998</v>
      </c>
      <c r="O39" s="357">
        <f t="shared" si="1"/>
        <v>753042857.00000012</v>
      </c>
      <c r="P39" s="355" t="s">
        <v>76</v>
      </c>
      <c r="Q39" s="204" t="s">
        <v>498</v>
      </c>
      <c r="R39" s="8"/>
      <c r="S39" s="5"/>
    </row>
    <row r="40" spans="1:19" ht="82.5" customHeight="1" outlineLevel="1" x14ac:dyDescent="0.25">
      <c r="A40" s="354">
        <v>23</v>
      </c>
      <c r="B40" s="361" t="s">
        <v>95</v>
      </c>
      <c r="C40" t="s">
        <v>98</v>
      </c>
      <c r="D40" s="355" t="s">
        <v>463</v>
      </c>
      <c r="E40" s="355"/>
      <c r="F40" s="355" t="s">
        <v>441</v>
      </c>
      <c r="G40" s="424" t="s">
        <v>509</v>
      </c>
      <c r="H40" s="367" t="s">
        <v>99</v>
      </c>
      <c r="I40" s="40" t="s">
        <v>2</v>
      </c>
      <c r="J40" s="367">
        <v>18700000000</v>
      </c>
      <c r="K40" s="367">
        <v>18700000000</v>
      </c>
      <c r="L40" s="366">
        <v>7.4999999999999997E-2</v>
      </c>
      <c r="M40" s="367">
        <f>890476190.5+890476190.5+890476190.5+890476190.5+890476190.5</f>
        <v>4452380952.5</v>
      </c>
      <c r="N40" s="367">
        <f>1333335616.4+703171232.9+699328767.1+670052837.5+632909002+602718199.6+569233855.2</f>
        <v>5210749510.6999998</v>
      </c>
      <c r="O40" s="357">
        <f t="shared" si="1"/>
        <v>14247619047.5</v>
      </c>
      <c r="P40" s="355" t="s">
        <v>76</v>
      </c>
      <c r="Q40" s="204" t="s">
        <v>498</v>
      </c>
      <c r="R40" s="8"/>
      <c r="S40" s="5"/>
    </row>
    <row r="41" spans="1:19" ht="63.75" customHeight="1" outlineLevel="1" x14ac:dyDescent="0.25">
      <c r="A41" s="354">
        <v>24</v>
      </c>
      <c r="B41" s="361" t="s">
        <v>95</v>
      </c>
      <c r="C41" s="355" t="s">
        <v>278</v>
      </c>
      <c r="D41" s="355" t="s">
        <v>463</v>
      </c>
      <c r="E41" s="355"/>
      <c r="F41" s="355" t="s">
        <v>441</v>
      </c>
      <c r="G41" s="424" t="s">
        <v>510</v>
      </c>
      <c r="H41" s="367" t="s">
        <v>265</v>
      </c>
      <c r="I41" s="40" t="s">
        <v>2</v>
      </c>
      <c r="J41" s="367">
        <v>25000000000</v>
      </c>
      <c r="K41" s="367">
        <v>25000000000</v>
      </c>
      <c r="L41" s="366">
        <v>0.09</v>
      </c>
      <c r="M41" s="367">
        <f>1190476190.4+1190476190.5+1190476190.5</f>
        <v>3571428571.4000001</v>
      </c>
      <c r="N41" s="367">
        <f>1171232876.7+1121917808.3+1128082191.8+1121917808.2+1074363992.2+1020645792.6</f>
        <v>6638160469.8000002</v>
      </c>
      <c r="O41" s="357">
        <f t="shared" si="1"/>
        <v>21428571428.599998</v>
      </c>
      <c r="P41" s="355" t="s">
        <v>76</v>
      </c>
      <c r="Q41" s="204" t="s">
        <v>498</v>
      </c>
      <c r="R41" s="8"/>
      <c r="S41" s="5"/>
    </row>
    <row r="42" spans="1:19" ht="78.75" customHeight="1" outlineLevel="1" x14ac:dyDescent="0.25">
      <c r="A42" s="547">
        <v>25</v>
      </c>
      <c r="B42" s="361" t="s">
        <v>95</v>
      </c>
      <c r="C42" s="548" t="s">
        <v>100</v>
      </c>
      <c r="D42" s="360" t="s">
        <v>472</v>
      </c>
      <c r="E42" s="548" t="s">
        <v>527</v>
      </c>
      <c r="F42" s="360" t="s">
        <v>497</v>
      </c>
      <c r="G42" s="552" t="s">
        <v>321</v>
      </c>
      <c r="H42" s="583" t="s">
        <v>102</v>
      </c>
      <c r="I42" s="356" t="s">
        <v>51</v>
      </c>
      <c r="J42" s="36">
        <v>270000000</v>
      </c>
      <c r="K42" s="367">
        <v>170663629.05000004</v>
      </c>
      <c r="L42" s="368">
        <v>0.03</v>
      </c>
      <c r="M42" s="367">
        <f>51199088.7002228+3370009369.8/394.93+3295429324.9/386.19+3461143748.2/405.61+3310959715/388.01</f>
        <v>85331814.500250429</v>
      </c>
      <c r="N42" s="367">
        <f>20309911.275649+723428666.7/394.93+646453366.1/386.19+636850451.3/405.61+552378447/388.01</f>
        <v>26809351.07566011</v>
      </c>
      <c r="O42" s="357">
        <f t="shared" si="1"/>
        <v>85331814.549749613</v>
      </c>
      <c r="P42" s="548" t="s">
        <v>84</v>
      </c>
      <c r="Q42" s="204" t="s">
        <v>498</v>
      </c>
      <c r="R42" s="8"/>
      <c r="S42" s="5"/>
    </row>
    <row r="43" spans="1:19" ht="71.25" customHeight="1" outlineLevel="1" x14ac:dyDescent="0.25">
      <c r="A43" s="547"/>
      <c r="B43" s="361" t="s">
        <v>95</v>
      </c>
      <c r="C43" s="548"/>
      <c r="D43" s="355" t="s">
        <v>463</v>
      </c>
      <c r="E43" s="548"/>
      <c r="F43" s="355" t="s">
        <v>499</v>
      </c>
      <c r="G43" s="552"/>
      <c r="H43" s="583"/>
      <c r="I43" s="40" t="s">
        <v>2</v>
      </c>
      <c r="J43" s="36">
        <v>1265847400</v>
      </c>
      <c r="K43" s="367">
        <f>9509488626+108542329</f>
        <v>9618030955</v>
      </c>
      <c r="L43" s="368">
        <v>0.03</v>
      </c>
      <c r="M43" s="367">
        <f>2858334735.47632+482835444.3+482835444.2+482835444.3+482835444.2</f>
        <v>4789676512.4763193</v>
      </c>
      <c r="N43" s="367">
        <f>1045375895.11175+103648675.3+94716219.7+88841721.7+80553046.6</f>
        <v>1413135558.4117501</v>
      </c>
      <c r="O43" s="357">
        <f t="shared" si="1"/>
        <v>4828354442.5236807</v>
      </c>
      <c r="P43" s="548"/>
      <c r="Q43" s="204" t="s">
        <v>498</v>
      </c>
      <c r="R43" s="8"/>
      <c r="S43" s="5"/>
    </row>
    <row r="44" spans="1:19" ht="79.5" customHeight="1" outlineLevel="1" x14ac:dyDescent="0.25">
      <c r="A44" s="354">
        <v>26</v>
      </c>
      <c r="B44" s="361" t="s">
        <v>95</v>
      </c>
      <c r="C44" s="355" t="s">
        <v>103</v>
      </c>
      <c r="D44" s="553" t="s">
        <v>49</v>
      </c>
      <c r="E44" s="548" t="s">
        <v>528</v>
      </c>
      <c r="F44" s="360" t="s">
        <v>497</v>
      </c>
      <c r="G44" s="359" t="s">
        <v>322</v>
      </c>
      <c r="H44" s="367" t="s">
        <v>104</v>
      </c>
      <c r="I44" s="356" t="s">
        <v>51</v>
      </c>
      <c r="J44" s="36">
        <v>8907500</v>
      </c>
      <c r="K44" s="367">
        <v>8907384.7100000009</v>
      </c>
      <c r="L44" s="366" t="s">
        <v>368</v>
      </c>
      <c r="M44" s="367"/>
      <c r="N44" s="367">
        <f>1241236.45+96159781.6/386.38+118034920.8/403.19+119269571.9/387.69</f>
        <v>2090504.2500873837</v>
      </c>
      <c r="O44" s="357">
        <f t="shared" si="1"/>
        <v>8907384.7100000009</v>
      </c>
      <c r="P44" s="355" t="s">
        <v>105</v>
      </c>
      <c r="Q44" s="204" t="s">
        <v>498</v>
      </c>
      <c r="R44" s="8"/>
      <c r="S44" s="5"/>
    </row>
    <row r="45" spans="1:19" ht="116.25" customHeight="1" outlineLevel="1" x14ac:dyDescent="0.25">
      <c r="A45" s="354">
        <v>27</v>
      </c>
      <c r="B45" s="355" t="s">
        <v>88</v>
      </c>
      <c r="C45" s="355" t="s">
        <v>103</v>
      </c>
      <c r="D45" s="553"/>
      <c r="E45" s="548"/>
      <c r="F45" s="360" t="s">
        <v>497</v>
      </c>
      <c r="G45" s="359" t="s">
        <v>323</v>
      </c>
      <c r="H45" s="367" t="s">
        <v>104</v>
      </c>
      <c r="I45" s="356" t="s">
        <v>51</v>
      </c>
      <c r="J45" s="36">
        <v>21092500</v>
      </c>
      <c r="K45" s="367">
        <v>21092210.790000003</v>
      </c>
      <c r="L45" s="366" t="s">
        <v>368</v>
      </c>
      <c r="M45" s="367"/>
      <c r="N45" s="367">
        <f>3081286.01+227668040/386.38+279535083/403.19+282423985/387.69</f>
        <v>5092306.983008015</v>
      </c>
      <c r="O45" s="357">
        <f t="shared" si="1"/>
        <v>21092210.790000003</v>
      </c>
      <c r="P45" s="355" t="s">
        <v>106</v>
      </c>
      <c r="Q45" s="204" t="s">
        <v>498</v>
      </c>
      <c r="R45" s="8"/>
      <c r="S45" s="5"/>
    </row>
    <row r="46" spans="1:19" s="9" customFormat="1" ht="15" customHeight="1" x14ac:dyDescent="0.25">
      <c r="A46" s="485" t="s">
        <v>115</v>
      </c>
      <c r="B46" s="486"/>
      <c r="C46" s="486"/>
      <c r="D46" s="54"/>
      <c r="E46" s="54"/>
      <c r="F46" s="54"/>
      <c r="G46" s="422"/>
      <c r="H46" s="54"/>
      <c r="I46" s="54" t="s">
        <v>29</v>
      </c>
      <c r="J46" s="11">
        <f>SUMIF($I$5:$I$45,I46,$J$5:$J$45)</f>
        <v>275755742.28000003</v>
      </c>
      <c r="K46" s="11">
        <f>SUMIF($I$5:$I$45,I46,$K$5:$K$45)</f>
        <v>97929055.540000007</v>
      </c>
      <c r="L46" s="11"/>
      <c r="M46" s="11">
        <f>SUMIF($I$5:$I$45,I46,$M$5:$M$45)</f>
        <v>39908033.03968589</v>
      </c>
      <c r="N46" s="11">
        <f>SUMIF($I$5:$I$45,I46,$N$5:$N$45)</f>
        <v>17325676.59772047</v>
      </c>
      <c r="O46" s="11">
        <f>SUMIF($I$5:$I$45,I46,$O$5:$O$45)</f>
        <v>58782590.930314109</v>
      </c>
      <c r="P46" s="11"/>
      <c r="Q46" s="318"/>
      <c r="R46" s="8"/>
      <c r="S46" s="5"/>
    </row>
    <row r="47" spans="1:19" s="9" customFormat="1" ht="15" customHeight="1" x14ac:dyDescent="0.25">
      <c r="A47" s="485"/>
      <c r="B47" s="486"/>
      <c r="C47" s="486"/>
      <c r="D47" s="54"/>
      <c r="E47" s="54"/>
      <c r="F47" s="54"/>
      <c r="G47" s="422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15445351823.776318</v>
      </c>
      <c r="N47" s="11">
        <f>SUMIF($I$5:$I$45,I47,$N$5:$N$45)</f>
        <v>16035969978.721752</v>
      </c>
      <c r="O47" s="11">
        <f>SUMIF($I$5:$I$45,I47,$O$5:$O$45)</f>
        <v>52506443456.223679</v>
      </c>
      <c r="P47" s="11"/>
      <c r="Q47" s="318"/>
      <c r="R47" s="8"/>
      <c r="S47" s="5"/>
    </row>
    <row r="48" spans="1:19" s="9" customFormat="1" ht="15" customHeight="1" x14ac:dyDescent="0.25">
      <c r="A48" s="485"/>
      <c r="B48" s="486"/>
      <c r="C48" s="486"/>
      <c r="D48" s="54"/>
      <c r="E48" s="54"/>
      <c r="F48" s="54"/>
      <c r="G48" s="422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114237602.75802377</v>
      </c>
      <c r="N48" s="11">
        <f>SUMIF($I$5:$I$45,I48,$N$5:$N$45)</f>
        <v>58124419.064152054</v>
      </c>
      <c r="O48" s="11">
        <f>SUMIF($I$5:$I$45,I48,$O$5:$O$45)</f>
        <v>212221417.75197628</v>
      </c>
      <c r="P48" s="11"/>
      <c r="Q48" s="318"/>
      <c r="R48" s="8"/>
      <c r="S48" s="5"/>
    </row>
    <row r="49" spans="1:19" s="9" customFormat="1" ht="15" customHeight="1" x14ac:dyDescent="0.25">
      <c r="A49" s="485"/>
      <c r="B49" s="486"/>
      <c r="C49" s="486"/>
      <c r="D49" s="54"/>
      <c r="E49" s="54"/>
      <c r="F49" s="54"/>
      <c r="G49" s="422"/>
      <c r="H49" s="54"/>
      <c r="I49" s="54" t="s">
        <v>71</v>
      </c>
      <c r="J49" s="11">
        <f>SUMIF($I$5:$I$45,I49,$J$5:$J$45)</f>
        <v>31777311969</v>
      </c>
      <c r="K49" s="11">
        <f>SUMIF($I$5:$I$45,I49,$K$5:$K$45)</f>
        <v>31859249643</v>
      </c>
      <c r="L49" s="11"/>
      <c r="M49" s="11">
        <f>SUMIF($I$5:$I$45,I49,$M$5:$M$45)</f>
        <v>12178517548.709158</v>
      </c>
      <c r="N49" s="11">
        <f>SUMIF($I$5:$I$45,I49,$N$5:$N$45)</f>
        <v>3571514171.4328051</v>
      </c>
      <c r="O49" s="11">
        <f>SUMIF($I$5:$I$45,I49,$O$5:$O$45)</f>
        <v>19680732094.29084</v>
      </c>
      <c r="P49" s="11"/>
      <c r="Q49" s="318"/>
      <c r="R49" s="8"/>
      <c r="S49" s="5"/>
    </row>
    <row r="50" spans="1:19" s="9" customFormat="1" ht="15" customHeight="1" x14ac:dyDescent="0.25">
      <c r="A50" s="485"/>
      <c r="B50" s="486"/>
      <c r="C50" s="486"/>
      <c r="D50" s="54"/>
      <c r="E50" s="54"/>
      <c r="F50" s="54"/>
      <c r="G50" s="422"/>
      <c r="H50" s="54"/>
      <c r="I50" s="54" t="s">
        <v>61</v>
      </c>
      <c r="J50" s="11">
        <f>SUMIF($I$5:$I$45,I50,$J$5:$J$45)</f>
        <v>24086688</v>
      </c>
      <c r="K50" s="11">
        <f>SUMIF($I$5:$I$45,I50,$K$5:$K$45)</f>
        <v>18384172.012149811</v>
      </c>
      <c r="L50" s="11"/>
      <c r="M50" s="11">
        <f>SUMIF($I$5:$I$45,I50,$M$5:$M$45)</f>
        <v>4356879.5040346272</v>
      </c>
      <c r="N50" s="11">
        <f>SUMIF($I$5:$I$45,I50,$N$5:$N$45)</f>
        <v>2915190.8613051148</v>
      </c>
      <c r="O50" s="11">
        <f>SUMIF($I$5:$I$45,I50,$O$5:$O$45)</f>
        <v>14027292.508115182</v>
      </c>
      <c r="P50" s="11"/>
      <c r="Q50" s="318"/>
      <c r="R50" s="8"/>
      <c r="S50" s="5"/>
    </row>
    <row r="51" spans="1:19" ht="96.75" customHeight="1" outlineLevel="1" x14ac:dyDescent="0.25">
      <c r="A51" s="354">
        <v>28</v>
      </c>
      <c r="B51" s="361" t="s">
        <v>116</v>
      </c>
      <c r="C51" s="355" t="s">
        <v>117</v>
      </c>
      <c r="D51" s="360" t="s">
        <v>118</v>
      </c>
      <c r="E51" s="359" t="s">
        <v>529</v>
      </c>
      <c r="F51" s="360" t="s">
        <v>497</v>
      </c>
      <c r="G51" s="359" t="s">
        <v>324</v>
      </c>
      <c r="H51" s="359" t="s">
        <v>119</v>
      </c>
      <c r="I51" s="356" t="s">
        <v>29</v>
      </c>
      <c r="J51" s="367">
        <v>5000000</v>
      </c>
      <c r="K51" s="367">
        <v>5000000</v>
      </c>
      <c r="L51" s="366" t="s">
        <v>120</v>
      </c>
      <c r="M51" s="367">
        <f>4166666.69+208333.33+88124985.9/423+87866652.7/421.76</f>
        <v>4791666.6202181326</v>
      </c>
      <c r="N51" s="367">
        <f>553011.29+6019459.2/423+4555355.1/421.76</f>
        <v>578042.51297989383</v>
      </c>
      <c r="O51" s="367">
        <f t="shared" ref="O51:O56" si="2">K51-M51</f>
        <v>208333.37978186738</v>
      </c>
      <c r="P51" s="355" t="s">
        <v>76</v>
      </c>
      <c r="Q51" s="204" t="s">
        <v>498</v>
      </c>
      <c r="S51" s="5"/>
    </row>
    <row r="52" spans="1:19" ht="86.25" customHeight="1" outlineLevel="1" x14ac:dyDescent="0.25">
      <c r="A52" s="354">
        <v>29</v>
      </c>
      <c r="B52" s="361" t="s">
        <v>121</v>
      </c>
      <c r="C52" s="355" t="s">
        <v>122</v>
      </c>
      <c r="D52" s="360" t="s">
        <v>118</v>
      </c>
      <c r="E52" s="359" t="s">
        <v>530</v>
      </c>
      <c r="F52" s="360" t="s">
        <v>497</v>
      </c>
      <c r="G52" s="359" t="s">
        <v>325</v>
      </c>
      <c r="H52" s="359" t="s">
        <v>123</v>
      </c>
      <c r="I52" s="356" t="s">
        <v>29</v>
      </c>
      <c r="J52" s="367">
        <v>5000000</v>
      </c>
      <c r="K52" s="367">
        <v>5000000</v>
      </c>
      <c r="L52" s="366" t="s">
        <v>120</v>
      </c>
      <c r="M52" s="367">
        <f>3125000+208333.33+88124985.9/423+87866652.7/421.76</f>
        <v>3749999.9302181336</v>
      </c>
      <c r="N52" s="367">
        <f>320254.8+16091046.9/423+15943700.8/421.76</f>
        <v>396097.88072837633</v>
      </c>
      <c r="O52" s="367">
        <f t="shared" si="2"/>
        <v>1250000.0697818664</v>
      </c>
      <c r="P52" s="548" t="s">
        <v>76</v>
      </c>
      <c r="Q52" s="204" t="s">
        <v>498</v>
      </c>
      <c r="S52" s="5"/>
    </row>
    <row r="53" spans="1:19" ht="84.75" customHeight="1" outlineLevel="1" x14ac:dyDescent="0.25">
      <c r="A53" s="354">
        <v>30</v>
      </c>
      <c r="B53" s="361" t="s">
        <v>121</v>
      </c>
      <c r="C53" s="355"/>
      <c r="D53" s="360" t="s">
        <v>463</v>
      </c>
      <c r="E53" s="360"/>
      <c r="F53" s="360" t="s">
        <v>499</v>
      </c>
      <c r="G53" s="359"/>
      <c r="H53" s="359"/>
      <c r="I53" s="356" t="s">
        <v>2</v>
      </c>
      <c r="J53" s="367"/>
      <c r="K53" s="367">
        <v>66094595</v>
      </c>
      <c r="L53" s="366" t="s">
        <v>120</v>
      </c>
      <c r="M53" s="367">
        <f>6609471.44+6609433.4+6609473.7+6609459.5</f>
        <v>26437838.039999999</v>
      </c>
      <c r="N53" s="367">
        <f>1088882.59773529+1190830.4+1204391.2</f>
        <v>3484104.19773529</v>
      </c>
      <c r="O53" s="367">
        <f t="shared" si="2"/>
        <v>39656756.960000001</v>
      </c>
      <c r="P53" s="548"/>
      <c r="Q53" s="204" t="s">
        <v>498</v>
      </c>
      <c r="S53" s="5"/>
    </row>
    <row r="54" spans="1:19" ht="89.25" customHeight="1" outlineLevel="1" x14ac:dyDescent="0.25">
      <c r="A54" s="354">
        <v>31</v>
      </c>
      <c r="B54" s="361" t="s">
        <v>124</v>
      </c>
      <c r="C54" s="355" t="s">
        <v>125</v>
      </c>
      <c r="D54" s="360" t="s">
        <v>126</v>
      </c>
      <c r="E54" s="359" t="s">
        <v>531</v>
      </c>
      <c r="F54" s="360" t="s">
        <v>497</v>
      </c>
      <c r="G54" s="359" t="s">
        <v>326</v>
      </c>
      <c r="H54" s="359" t="s">
        <v>127</v>
      </c>
      <c r="I54" s="356" t="s">
        <v>29</v>
      </c>
      <c r="J54" s="367">
        <v>5000000</v>
      </c>
      <c r="K54" s="367">
        <v>5000000</v>
      </c>
      <c r="L54" s="366" t="s">
        <v>120</v>
      </c>
      <c r="M54" s="367">
        <f>3227272.74+97124988.4/427.35+96136352.1/423+95854533.9/421.76</f>
        <v>3909090.8400054076</v>
      </c>
      <c r="N54" s="367">
        <f>475298.336411511+13707853.3/421.76</f>
        <v>507799.88539671584</v>
      </c>
      <c r="O54" s="367">
        <f t="shared" si="2"/>
        <v>1090909.1599945924</v>
      </c>
      <c r="P54" s="355" t="s">
        <v>76</v>
      </c>
      <c r="Q54" s="204" t="s">
        <v>498</v>
      </c>
      <c r="S54" s="5"/>
    </row>
    <row r="55" spans="1:19" ht="57" customHeight="1" outlineLevel="1" x14ac:dyDescent="0.25">
      <c r="A55" s="547">
        <v>32</v>
      </c>
      <c r="B55" s="361" t="s">
        <v>128</v>
      </c>
      <c r="C55" s="548" t="s">
        <v>129</v>
      </c>
      <c r="D55" s="360" t="s">
        <v>126</v>
      </c>
      <c r="E55" s="359" t="s">
        <v>532</v>
      </c>
      <c r="F55" s="360" t="s">
        <v>497</v>
      </c>
      <c r="G55" s="359" t="s">
        <v>327</v>
      </c>
      <c r="H55" s="359" t="s">
        <v>130</v>
      </c>
      <c r="I55" s="356" t="s">
        <v>29</v>
      </c>
      <c r="J55" s="367">
        <v>5000000</v>
      </c>
      <c r="K55" s="367">
        <v>3000000</v>
      </c>
      <c r="L55" s="249" t="s">
        <v>279</v>
      </c>
      <c r="M55" s="367">
        <f>676724.137931034+46797420.6/423+46660236.7/421.76</f>
        <v>897988.53799742239</v>
      </c>
      <c r="N55" s="367">
        <f>222742.9+6254858.7/423+5914494.4/421.76</f>
        <v>251553.16494688921</v>
      </c>
      <c r="O55" s="367">
        <f t="shared" si="2"/>
        <v>2102011.4620025777</v>
      </c>
      <c r="P55" s="548" t="s">
        <v>76</v>
      </c>
      <c r="Q55" s="204" t="s">
        <v>498</v>
      </c>
      <c r="S55" s="5"/>
    </row>
    <row r="56" spans="1:19" ht="57" customHeight="1" outlineLevel="1" x14ac:dyDescent="0.25">
      <c r="A56" s="547"/>
      <c r="B56" s="361" t="s">
        <v>128</v>
      </c>
      <c r="C56" s="548"/>
      <c r="D56" s="360" t="s">
        <v>463</v>
      </c>
      <c r="E56" s="360"/>
      <c r="F56" s="360" t="s">
        <v>499</v>
      </c>
      <c r="G56" s="359" t="s">
        <v>327</v>
      </c>
      <c r="H56" s="359" t="s">
        <v>266</v>
      </c>
      <c r="I56" s="356" t="s">
        <v>2</v>
      </c>
      <c r="J56" s="367"/>
      <c r="K56" s="367">
        <v>100836059.51000001</v>
      </c>
      <c r="L56" s="249">
        <v>1.404E-2</v>
      </c>
      <c r="M56" s="367">
        <f>9751561.92837819+3148517+4073473.9</f>
        <v>16973552.828378189</v>
      </c>
      <c r="N56" s="367">
        <f>1328413.8+491137.6+435674.1</f>
        <v>2255225.5</v>
      </c>
      <c r="O56" s="367">
        <f t="shared" si="2"/>
        <v>83862506.68162182</v>
      </c>
      <c r="P56" s="548"/>
      <c r="Q56" s="204" t="s">
        <v>498</v>
      </c>
      <c r="S56" s="5"/>
    </row>
    <row r="57" spans="1:19" s="9" customFormat="1" ht="15" customHeight="1" x14ac:dyDescent="0.25">
      <c r="A57" s="485" t="s">
        <v>131</v>
      </c>
      <c r="B57" s="486"/>
      <c r="C57" s="486"/>
      <c r="D57" s="41"/>
      <c r="E57" s="355"/>
      <c r="F57" s="54"/>
      <c r="G57" s="422"/>
      <c r="H57" s="54"/>
      <c r="I57" s="54" t="s">
        <v>29</v>
      </c>
      <c r="J57" s="11">
        <f>SUMIF($I$51:$I$56,I57,$J$51:$J$56)</f>
        <v>20000000</v>
      </c>
      <c r="K57" s="11">
        <f>SUMIF($I$51:$I$56,I57,$K$51:$K$56)</f>
        <v>18000000</v>
      </c>
      <c r="L57" s="11"/>
      <c r="M57" s="11">
        <f>SUMIF($I$51:$I$56,I57,$M$51:$M$56)</f>
        <v>13348745.928439096</v>
      </c>
      <c r="N57" s="11">
        <f>SUMIF($I$51:$I$56,I57,$N$51:$N$56)</f>
        <v>1733493.4440518753</v>
      </c>
      <c r="O57" s="11">
        <f>SUMIF($I$51:$I$56,I57,$O$51:$O$56)</f>
        <v>4651254.0715609044</v>
      </c>
      <c r="P57" s="11"/>
      <c r="Q57" s="318"/>
      <c r="R57" s="8"/>
      <c r="S57" s="5"/>
    </row>
    <row r="58" spans="1:19" s="9" customFormat="1" ht="15" customHeight="1" x14ac:dyDescent="0.25">
      <c r="A58" s="485"/>
      <c r="B58" s="486"/>
      <c r="C58" s="486"/>
      <c r="D58" s="41"/>
      <c r="E58" s="355"/>
      <c r="F58" s="54"/>
      <c r="G58" s="422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1"/>
      <c r="Q58" s="318"/>
      <c r="R58" s="8"/>
      <c r="S58" s="5"/>
    </row>
    <row r="59" spans="1:19" s="9" customFormat="1" ht="15" customHeight="1" x14ac:dyDescent="0.25">
      <c r="A59" s="485"/>
      <c r="B59" s="486"/>
      <c r="C59" s="486"/>
      <c r="D59" s="41"/>
      <c r="E59" s="355"/>
      <c r="F59" s="54"/>
      <c r="G59" s="422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1"/>
      <c r="Q59" s="318"/>
      <c r="R59" s="8"/>
      <c r="S59" s="5"/>
    </row>
    <row r="60" spans="1:19" s="9" customFormat="1" ht="15" customHeight="1" x14ac:dyDescent="0.25">
      <c r="A60" s="485"/>
      <c r="B60" s="486"/>
      <c r="C60" s="486"/>
      <c r="D60" s="41"/>
      <c r="E60" s="355"/>
      <c r="F60" s="54"/>
      <c r="G60" s="422"/>
      <c r="H60" s="54"/>
      <c r="I60" s="54" t="s">
        <v>71</v>
      </c>
      <c r="J60" s="11">
        <f>SUMIF($I$51:$I$56,I60,$J$51:$J$56)</f>
        <v>0</v>
      </c>
      <c r="K60" s="11">
        <f>SUMIF($I$51:$I$56,I60,$K$51:$K$56)</f>
        <v>0</v>
      </c>
      <c r="L60" s="11"/>
      <c r="M60" s="11">
        <f>SUMIF($I$51:$I$56,I60,$M$51:$M$56)</f>
        <v>0</v>
      </c>
      <c r="N60" s="11">
        <f>SUMIF($I$51:$I$56,I60,$N$51:$N$56)</f>
        <v>0</v>
      </c>
      <c r="O60" s="11">
        <f>SUMIF($I$51:$I$56,I60,$O$51:$O$56)</f>
        <v>0</v>
      </c>
      <c r="P60" s="11"/>
      <c r="Q60" s="318"/>
      <c r="R60" s="8"/>
      <c r="S60" s="5"/>
    </row>
    <row r="61" spans="1:19" s="2" customFormat="1" ht="91.5" customHeight="1" outlineLevel="1" x14ac:dyDescent="0.25">
      <c r="A61" s="354">
        <v>33</v>
      </c>
      <c r="B61" s="355" t="s">
        <v>132</v>
      </c>
      <c r="C61" s="355" t="s">
        <v>133</v>
      </c>
      <c r="D61" s="355" t="s">
        <v>473</v>
      </c>
      <c r="E61" s="355"/>
      <c r="F61" s="360" t="s">
        <v>441</v>
      </c>
      <c r="G61" s="58" t="s">
        <v>328</v>
      </c>
      <c r="H61" s="355" t="s">
        <v>134</v>
      </c>
      <c r="I61" s="355" t="s">
        <v>2</v>
      </c>
      <c r="J61" s="367">
        <v>74000000000</v>
      </c>
      <c r="K61" s="367">
        <v>74000000000</v>
      </c>
      <c r="L61" s="366" t="s">
        <v>135</v>
      </c>
      <c r="M61" s="367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367">
        <f>27971909177.5+338144.2+498915.4+526901.3+642474.8+795979.5+10421637.5+86178.9</f>
        <v>27985219409.100002</v>
      </c>
      <c r="O61" s="357">
        <f>K61-M61</f>
        <v>8809523809.2999802</v>
      </c>
      <c r="P61" s="355" t="s">
        <v>76</v>
      </c>
      <c r="Q61" s="204" t="s">
        <v>498</v>
      </c>
      <c r="R61" s="1"/>
      <c r="S61" s="5"/>
    </row>
    <row r="62" spans="1:19" s="2" customFormat="1" ht="91.5" customHeight="1" outlineLevel="1" x14ac:dyDescent="0.25">
      <c r="A62" s="354">
        <v>34</v>
      </c>
      <c r="B62" s="355" t="s">
        <v>132</v>
      </c>
      <c r="C62" s="355" t="s">
        <v>136</v>
      </c>
      <c r="D62" s="355" t="s">
        <v>27</v>
      </c>
      <c r="E62" s="355"/>
      <c r="F62" s="360" t="s">
        <v>441</v>
      </c>
      <c r="G62" s="58" t="s">
        <v>329</v>
      </c>
      <c r="H62" s="355" t="s">
        <v>137</v>
      </c>
      <c r="I62" s="355" t="s">
        <v>2</v>
      </c>
      <c r="J62" s="367">
        <v>2035890300</v>
      </c>
      <c r="K62" s="367">
        <v>2035890300</v>
      </c>
      <c r="L62" s="366" t="s">
        <v>44</v>
      </c>
      <c r="M62" s="367">
        <v>0</v>
      </c>
      <c r="N62" s="367">
        <v>0</v>
      </c>
      <c r="O62" s="357">
        <f t="shared" ref="O62:O67" si="3">K62-M62</f>
        <v>2035890300</v>
      </c>
      <c r="P62" s="355" t="s">
        <v>76</v>
      </c>
      <c r="Q62" s="204" t="s">
        <v>498</v>
      </c>
      <c r="R62" s="1"/>
      <c r="S62" s="5"/>
    </row>
    <row r="63" spans="1:19" ht="67.5" outlineLevel="1" x14ac:dyDescent="0.25">
      <c r="A63" s="354">
        <v>35</v>
      </c>
      <c r="B63" s="361" t="s">
        <v>138</v>
      </c>
      <c r="C63" s="355" t="s">
        <v>139</v>
      </c>
      <c r="D63" s="360" t="s">
        <v>27</v>
      </c>
      <c r="E63" s="360" t="s">
        <v>511</v>
      </c>
      <c r="F63" s="360"/>
      <c r="G63" s="421" t="s">
        <v>330</v>
      </c>
      <c r="H63" s="360" t="s">
        <v>140</v>
      </c>
      <c r="I63" s="356" t="s">
        <v>29</v>
      </c>
      <c r="J63" s="367">
        <v>3500000</v>
      </c>
      <c r="K63" s="367">
        <v>3500000</v>
      </c>
      <c r="L63" s="366">
        <v>7.4999999999999997E-3</v>
      </c>
      <c r="M63" s="367">
        <f>696000+31440060/542.07+58000+24255020/418.19+24400600/420.7+25920780/446.91+24152360/416.42</f>
        <v>1044000</v>
      </c>
      <c r="N63" s="367">
        <f>399592.922231146+10515+10297.5+4215355.2/418.19+4149153.8/420.7+4310447/446.91+3925799.6/416.42</f>
        <v>459420.42258194601</v>
      </c>
      <c r="O63" s="357">
        <f t="shared" si="3"/>
        <v>2456000</v>
      </c>
      <c r="P63" s="355" t="s">
        <v>76</v>
      </c>
      <c r="Q63" s="204"/>
      <c r="S63" s="5"/>
    </row>
    <row r="64" spans="1:19" ht="128.25" customHeight="1" outlineLevel="1" x14ac:dyDescent="0.25">
      <c r="A64" s="354">
        <v>36</v>
      </c>
      <c r="B64" s="361" t="s">
        <v>141</v>
      </c>
      <c r="C64" s="355" t="s">
        <v>142</v>
      </c>
      <c r="D64" s="355" t="s">
        <v>143</v>
      </c>
      <c r="E64" s="355"/>
      <c r="F64" s="360" t="s">
        <v>441</v>
      </c>
      <c r="G64" s="362" t="s">
        <v>331</v>
      </c>
      <c r="H64" s="360" t="s">
        <v>144</v>
      </c>
      <c r="I64" s="356" t="s">
        <v>51</v>
      </c>
      <c r="J64" s="357">
        <v>1689937.9</v>
      </c>
      <c r="K64" s="367">
        <v>1689937.9</v>
      </c>
      <c r="L64" s="358">
        <v>5.9900000000000002E-2</v>
      </c>
      <c r="M64" s="367">
        <f>872805.23+28165+28165+28165</f>
        <v>957300.23</v>
      </c>
      <c r="N64" s="367">
        <f>1964862.47+25588.58+24871.58+24276.42</f>
        <v>2039599.05</v>
      </c>
      <c r="O64" s="357">
        <f t="shared" si="3"/>
        <v>732637.66999999993</v>
      </c>
      <c r="P64" s="361" t="s">
        <v>76</v>
      </c>
      <c r="Q64" s="321" t="s">
        <v>498</v>
      </c>
      <c r="S64" s="5"/>
    </row>
    <row r="65" spans="1:19" ht="98.25" customHeight="1" outlineLevel="1" x14ac:dyDescent="0.25">
      <c r="A65" s="354">
        <v>37</v>
      </c>
      <c r="B65" s="361" t="s">
        <v>145</v>
      </c>
      <c r="C65" s="355" t="s">
        <v>146</v>
      </c>
      <c r="D65" s="355" t="s">
        <v>143</v>
      </c>
      <c r="E65" s="355"/>
      <c r="F65" s="360" t="s">
        <v>441</v>
      </c>
      <c r="G65" s="362" t="s">
        <v>332</v>
      </c>
      <c r="H65" s="360" t="s">
        <v>147</v>
      </c>
      <c r="I65" s="356" t="s">
        <v>51</v>
      </c>
      <c r="J65" s="357">
        <v>2828000</v>
      </c>
      <c r="K65" s="367">
        <v>2828000</v>
      </c>
      <c r="L65" s="358">
        <v>5.9900000000000002E-2</v>
      </c>
      <c r="M65" s="357">
        <f>1128831.5+47000+47000</f>
        <v>1222831.5</v>
      </c>
      <c r="N65" s="367">
        <f>1731608.85+50775.51+49371.71</f>
        <v>1831756.07</v>
      </c>
      <c r="O65" s="357">
        <f t="shared" si="3"/>
        <v>1605168.5</v>
      </c>
      <c r="P65" s="361" t="s">
        <v>76</v>
      </c>
      <c r="Q65" s="321" t="s">
        <v>498</v>
      </c>
      <c r="S65" s="5"/>
    </row>
    <row r="66" spans="1:19" s="4" customFormat="1" ht="140.25" customHeight="1" outlineLevel="1" x14ac:dyDescent="0.25">
      <c r="A66" s="354">
        <v>38</v>
      </c>
      <c r="B66" s="361" t="s">
        <v>148</v>
      </c>
      <c r="C66" s="355" t="s">
        <v>149</v>
      </c>
      <c r="D66" s="355" t="s">
        <v>143</v>
      </c>
      <c r="E66" s="355"/>
      <c r="F66" s="360" t="s">
        <v>441</v>
      </c>
      <c r="G66" s="360" t="s">
        <v>333</v>
      </c>
      <c r="H66" s="360" t="s">
        <v>150</v>
      </c>
      <c r="I66" s="355" t="s">
        <v>2</v>
      </c>
      <c r="J66" s="60">
        <v>2092000000</v>
      </c>
      <c r="K66" s="367">
        <v>2092000000</v>
      </c>
      <c r="L66" s="61">
        <v>0.02</v>
      </c>
      <c r="M66" s="367">
        <f>354576270+35457627.1+35457627+35457627+35457627</f>
        <v>496406778.10000002</v>
      </c>
      <c r="N66" s="367">
        <f>426427783.87+17517039.3+16879773.4+16802058.1+16265822.2</f>
        <v>493892476.87</v>
      </c>
      <c r="O66" s="357">
        <f t="shared" si="3"/>
        <v>1595593221.9000001</v>
      </c>
      <c r="P66" s="361" t="s">
        <v>76</v>
      </c>
      <c r="Q66" s="321" t="s">
        <v>498</v>
      </c>
      <c r="R66" s="3"/>
      <c r="S66" s="5"/>
    </row>
    <row r="67" spans="1:19" s="4" customFormat="1" ht="123.75" customHeight="1" outlineLevel="1" x14ac:dyDescent="0.25">
      <c r="A67" s="354">
        <v>39</v>
      </c>
      <c r="B67" s="361" t="s">
        <v>148</v>
      </c>
      <c r="C67" s="355" t="s">
        <v>151</v>
      </c>
      <c r="D67" s="355" t="s">
        <v>143</v>
      </c>
      <c r="E67" s="355"/>
      <c r="F67" s="360" t="s">
        <v>441</v>
      </c>
      <c r="G67" s="360" t="s">
        <v>334</v>
      </c>
      <c r="H67" s="360" t="s">
        <v>152</v>
      </c>
      <c r="I67" s="360" t="s">
        <v>2</v>
      </c>
      <c r="J67" s="60">
        <v>2187306400</v>
      </c>
      <c r="K67" s="60">
        <v>2187306400</v>
      </c>
      <c r="L67" s="61">
        <v>0.03</v>
      </c>
      <c r="M67" s="367">
        <v>0</v>
      </c>
      <c r="N67" s="367">
        <f>224789707.9+33079263.9+32539928.1+33079263.9+32719706.7</f>
        <v>356207870.5</v>
      </c>
      <c r="O67" s="357">
        <f t="shared" si="3"/>
        <v>2187306400</v>
      </c>
      <c r="P67" s="361" t="s">
        <v>76</v>
      </c>
      <c r="Q67" s="321" t="s">
        <v>498</v>
      </c>
      <c r="R67" s="3"/>
      <c r="S67" s="5"/>
    </row>
    <row r="68" spans="1:19" s="9" customFormat="1" ht="15" customHeight="1" x14ac:dyDescent="0.25">
      <c r="A68" s="485" t="s">
        <v>153</v>
      </c>
      <c r="B68" s="486"/>
      <c r="C68" s="486"/>
      <c r="D68" s="41"/>
      <c r="E68" s="355"/>
      <c r="F68" s="54"/>
      <c r="G68" s="422"/>
      <c r="H68" s="54"/>
      <c r="I68" s="54" t="s">
        <v>29</v>
      </c>
      <c r="J68" s="11">
        <f>SUMIF($I$61:$I$67,I68,$J$61:$J$67)</f>
        <v>3500000</v>
      </c>
      <c r="K68" s="11">
        <f>SUMIF($I$61:$I$67,I68,$K$61:$K$67)</f>
        <v>3500000</v>
      </c>
      <c r="L68" s="11"/>
      <c r="M68" s="11">
        <f>SUMIF($I$61:$I$67,I68,$M$61:$M$67)</f>
        <v>1044000</v>
      </c>
      <c r="N68" s="11">
        <f>SUMIF($I$61:$I$67,I68,$N$61:$N$67)</f>
        <v>459420.42258194601</v>
      </c>
      <c r="O68" s="11">
        <f>SUMIF($I$61:$I$67,I68,$O$61:$O$67)</f>
        <v>2456000</v>
      </c>
      <c r="P68" s="11"/>
      <c r="Q68" s="318"/>
      <c r="R68" s="8"/>
      <c r="S68" s="5"/>
    </row>
    <row r="69" spans="1:19" s="9" customFormat="1" ht="15" customHeight="1" x14ac:dyDescent="0.25">
      <c r="A69" s="485"/>
      <c r="B69" s="486"/>
      <c r="C69" s="486"/>
      <c r="D69" s="41"/>
      <c r="E69" s="355"/>
      <c r="F69" s="54"/>
      <c r="G69" s="422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28835319756.470001</v>
      </c>
      <c r="O69" s="11">
        <f>SUMIF($I$61:$I$67,I69,$O$61:$O$67)</f>
        <v>14628313731.19998</v>
      </c>
      <c r="P69" s="11"/>
      <c r="Q69" s="318"/>
      <c r="R69" s="8"/>
      <c r="S69" s="5"/>
    </row>
    <row r="70" spans="1:19" s="9" customFormat="1" ht="15" customHeight="1" x14ac:dyDescent="0.25">
      <c r="A70" s="485"/>
      <c r="B70" s="486"/>
      <c r="C70" s="486"/>
      <c r="D70" s="41"/>
      <c r="E70" s="355"/>
      <c r="F70" s="54"/>
      <c r="G70" s="422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1"/>
      <c r="Q70" s="318"/>
      <c r="R70" s="8"/>
      <c r="S70" s="5"/>
    </row>
    <row r="71" spans="1:19" s="9" customFormat="1" ht="15" customHeight="1" x14ac:dyDescent="0.25">
      <c r="A71" s="485"/>
      <c r="B71" s="486"/>
      <c r="C71" s="486"/>
      <c r="D71" s="41"/>
      <c r="E71" s="355"/>
      <c r="F71" s="54"/>
      <c r="G71" s="422"/>
      <c r="H71" s="54"/>
      <c r="I71" s="54" t="s">
        <v>71</v>
      </c>
      <c r="J71" s="11">
        <f>SUMIF($I$61:$I$67,I71,$J$61:$J$67)</f>
        <v>0</v>
      </c>
      <c r="K71" s="11">
        <f>SUMIF($I$61:$I$67,I71,$K$61:$K$67)</f>
        <v>0</v>
      </c>
      <c r="L71" s="11"/>
      <c r="M71" s="11">
        <f>SUMIF($I$61:$I$67,I71,$M$61:$M$67)</f>
        <v>0</v>
      </c>
      <c r="N71" s="11">
        <f>SUMIF($I$61:$I$67,I71,$N$61:$N$67)</f>
        <v>0</v>
      </c>
      <c r="O71" s="11">
        <f>SUMIF($I$61:$I$67,I71,$O$61:$O$67)</f>
        <v>0</v>
      </c>
      <c r="P71" s="11"/>
      <c r="Q71" s="318"/>
      <c r="R71" s="8"/>
      <c r="S71" s="5"/>
    </row>
    <row r="72" spans="1:19" s="2" customFormat="1" ht="77.25" customHeight="1" outlineLevel="1" x14ac:dyDescent="0.25">
      <c r="A72" s="354">
        <v>40</v>
      </c>
      <c r="B72" s="361" t="s">
        <v>154</v>
      </c>
      <c r="C72" s="355" t="s">
        <v>155</v>
      </c>
      <c r="D72" s="355" t="s">
        <v>93</v>
      </c>
      <c r="E72" s="355"/>
      <c r="F72" s="360" t="s">
        <v>500</v>
      </c>
      <c r="G72" s="355" t="s">
        <v>335</v>
      </c>
      <c r="H72" s="355" t="s">
        <v>156</v>
      </c>
      <c r="I72" s="356" t="s">
        <v>51</v>
      </c>
      <c r="J72" s="367">
        <v>361332</v>
      </c>
      <c r="K72" s="367">
        <v>361332</v>
      </c>
      <c r="L72" s="366">
        <v>7.7700000000000005E-2</v>
      </c>
      <c r="M72" s="367">
        <f>219031+1000000/388.24</f>
        <v>221606.72635483206</v>
      </c>
      <c r="N72" s="367">
        <f>187530</f>
        <v>187530</v>
      </c>
      <c r="O72" s="357">
        <f>K72-M72</f>
        <v>139725.27364516794</v>
      </c>
      <c r="P72" s="355" t="s">
        <v>157</v>
      </c>
      <c r="Q72" s="204"/>
      <c r="R72" s="1"/>
      <c r="S72" s="5"/>
    </row>
    <row r="73" spans="1:19" ht="64.5" customHeight="1" outlineLevel="1" x14ac:dyDescent="0.25">
      <c r="A73" s="354">
        <v>41</v>
      </c>
      <c r="B73" s="361" t="s">
        <v>158</v>
      </c>
      <c r="C73" s="355" t="s">
        <v>159</v>
      </c>
      <c r="D73" s="360" t="s">
        <v>118</v>
      </c>
      <c r="E73" s="360"/>
      <c r="F73" s="360" t="s">
        <v>497</v>
      </c>
      <c r="G73" s="359" t="s">
        <v>336</v>
      </c>
      <c r="H73" s="367" t="s">
        <v>160</v>
      </c>
      <c r="I73" s="356" t="s">
        <v>29</v>
      </c>
      <c r="J73" s="367">
        <v>8000000</v>
      </c>
      <c r="K73" s="367">
        <v>80000</v>
      </c>
      <c r="L73" s="366" t="s">
        <v>44</v>
      </c>
      <c r="M73" s="367">
        <f>10909.09+3636.36+3636.36+1428217/392.76+1554016/427.35+3636.4+3632.85</f>
        <v>32723.821703756206</v>
      </c>
      <c r="N73" s="367">
        <f>105386.95+361.72+42360.02+4761284/392.76+5116448/427.35+12019.8+11989.6</f>
        <v>196213.21988818215</v>
      </c>
      <c r="O73" s="357">
        <f>K73-M73</f>
        <v>47276.178296243794</v>
      </c>
      <c r="P73" s="355" t="s">
        <v>161</v>
      </c>
      <c r="Q73" s="204" t="s">
        <v>498</v>
      </c>
      <c r="S73" s="5"/>
    </row>
    <row r="74" spans="1:19" ht="63" customHeight="1" outlineLevel="1" x14ac:dyDescent="0.25">
      <c r="A74" s="354">
        <v>42</v>
      </c>
      <c r="B74" s="361" t="s">
        <v>158</v>
      </c>
      <c r="C74" s="355" t="s">
        <v>162</v>
      </c>
      <c r="D74" s="360" t="s">
        <v>126</v>
      </c>
      <c r="E74" s="360"/>
      <c r="F74" s="360" t="s">
        <v>497</v>
      </c>
      <c r="G74" s="359" t="s">
        <v>337</v>
      </c>
      <c r="H74" s="367" t="s">
        <v>160</v>
      </c>
      <c r="I74" s="356" t="s">
        <v>29</v>
      </c>
      <c r="J74" s="367">
        <v>8000000</v>
      </c>
      <c r="K74" s="367"/>
      <c r="L74" s="366" t="s">
        <v>44</v>
      </c>
      <c r="M74" s="367"/>
      <c r="N74" s="367"/>
      <c r="O74" s="357">
        <f>K74-M74</f>
        <v>0</v>
      </c>
      <c r="P74" s="355" t="s">
        <v>161</v>
      </c>
      <c r="Q74" s="204" t="s">
        <v>498</v>
      </c>
      <c r="S74" s="5"/>
    </row>
    <row r="75" spans="1:19" ht="71.25" customHeight="1" outlineLevel="1" x14ac:dyDescent="0.25">
      <c r="A75" s="547">
        <v>43</v>
      </c>
      <c r="B75" s="554" t="s">
        <v>163</v>
      </c>
      <c r="C75" s="548" t="s">
        <v>264</v>
      </c>
      <c r="D75" s="360" t="s">
        <v>118</v>
      </c>
      <c r="E75" s="360"/>
      <c r="F75" s="360" t="s">
        <v>497</v>
      </c>
      <c r="G75" s="359" t="s">
        <v>338</v>
      </c>
      <c r="H75" s="548" t="s">
        <v>281</v>
      </c>
      <c r="I75" s="356" t="s">
        <v>29</v>
      </c>
      <c r="J75" s="367">
        <v>5500000</v>
      </c>
      <c r="K75" s="367">
        <f>1384955.78+492272.39+301757.1+219245.55+25340.75</f>
        <v>2423571.5699999998</v>
      </c>
      <c r="L75" s="366" t="s">
        <v>44</v>
      </c>
      <c r="M75" s="367"/>
      <c r="N75" s="367"/>
      <c r="O75" s="357">
        <f t="shared" ref="O75:O96" si="4">K75-M75</f>
        <v>2423571.5699999998</v>
      </c>
      <c r="P75" s="355" t="s">
        <v>76</v>
      </c>
      <c r="Q75" s="204" t="s">
        <v>501</v>
      </c>
      <c r="S75" s="5"/>
    </row>
    <row r="76" spans="1:19" ht="74.25" customHeight="1" outlineLevel="1" x14ac:dyDescent="0.25">
      <c r="A76" s="547"/>
      <c r="B76" s="554"/>
      <c r="C76" s="548"/>
      <c r="D76" s="360" t="s">
        <v>463</v>
      </c>
      <c r="E76" s="360"/>
      <c r="F76" s="360" t="s">
        <v>499</v>
      </c>
      <c r="G76" s="359"/>
      <c r="H76" s="548"/>
      <c r="I76" s="360" t="s">
        <v>2</v>
      </c>
      <c r="J76" s="367">
        <v>92733053.200000003</v>
      </c>
      <c r="K76" s="367">
        <f>92733053.2+20276600+1679251+16492341.9+20399976.4+42969092+26833268.5</f>
        <v>221383583</v>
      </c>
      <c r="L76" s="366"/>
      <c r="M76" s="367"/>
      <c r="N76" s="367"/>
      <c r="O76" s="357">
        <f t="shared" si="4"/>
        <v>221383583</v>
      </c>
      <c r="P76" s="355"/>
      <c r="Q76" s="204" t="s">
        <v>501</v>
      </c>
      <c r="S76" s="5"/>
    </row>
    <row r="77" spans="1:19" ht="80.25" customHeight="1" outlineLevel="1" x14ac:dyDescent="0.25">
      <c r="A77" s="354">
        <v>44</v>
      </c>
      <c r="B77" s="361" t="s">
        <v>164</v>
      </c>
      <c r="C77" s="355" t="s">
        <v>165</v>
      </c>
      <c r="D77" s="355" t="s">
        <v>463</v>
      </c>
      <c r="E77" s="355"/>
      <c r="F77" s="360"/>
      <c r="G77" s="359" t="s">
        <v>339</v>
      </c>
      <c r="H77" s="367" t="s">
        <v>166</v>
      </c>
      <c r="I77" s="360" t="s">
        <v>2</v>
      </c>
      <c r="J77" s="367">
        <v>249300000</v>
      </c>
      <c r="K77" s="367">
        <v>249300000</v>
      </c>
      <c r="L77" s="368">
        <v>1E-3</v>
      </c>
      <c r="M77" s="367">
        <f>42881892.9</f>
        <v>42881892.899999999</v>
      </c>
      <c r="N77" s="367">
        <f>528153.5</f>
        <v>528153.5</v>
      </c>
      <c r="O77" s="357">
        <f t="shared" si="4"/>
        <v>206418107.09999999</v>
      </c>
      <c r="P77" s="355" t="s">
        <v>76</v>
      </c>
      <c r="Q77" s="204"/>
      <c r="S77" s="5"/>
    </row>
    <row r="78" spans="1:19" ht="148.5" outlineLevel="1" x14ac:dyDescent="0.25">
      <c r="A78" s="354">
        <v>45</v>
      </c>
      <c r="B78" s="361" t="s">
        <v>107</v>
      </c>
      <c r="C78" s="355" t="s">
        <v>108</v>
      </c>
      <c r="D78" s="360" t="s">
        <v>101</v>
      </c>
      <c r="E78" s="360"/>
      <c r="F78" s="360"/>
      <c r="G78" s="359" t="s">
        <v>340</v>
      </c>
      <c r="H78" s="367" t="s">
        <v>109</v>
      </c>
      <c r="I78" s="356" t="s">
        <v>51</v>
      </c>
      <c r="J78" s="367">
        <v>4000000</v>
      </c>
      <c r="K78" s="367">
        <v>869162.07</v>
      </c>
      <c r="L78" s="366" t="s">
        <v>44</v>
      </c>
      <c r="M78" s="367">
        <f>465353.9+34986668/397.71+41212635/391.46</f>
        <v>658603.5005344206</v>
      </c>
      <c r="N78" s="367">
        <f>188098.2+7483550/397.71+8032446/391.46</f>
        <v>227433.99995345628</v>
      </c>
      <c r="O78" s="357">
        <f>K78-M78</f>
        <v>210558.56946557935</v>
      </c>
      <c r="P78" s="355" t="s">
        <v>110</v>
      </c>
      <c r="Q78" s="204" t="s">
        <v>498</v>
      </c>
      <c r="S78" s="5"/>
    </row>
    <row r="79" spans="1:19" s="4" customFormat="1" ht="40.5" outlineLevel="1" x14ac:dyDescent="0.25">
      <c r="A79" s="354">
        <v>46</v>
      </c>
      <c r="B79" s="361" t="s">
        <v>167</v>
      </c>
      <c r="C79" s="355" t="s">
        <v>133</v>
      </c>
      <c r="D79" s="360" t="s">
        <v>473</v>
      </c>
      <c r="E79" s="360"/>
      <c r="F79" s="360" t="s">
        <v>441</v>
      </c>
      <c r="G79" s="360" t="s">
        <v>341</v>
      </c>
      <c r="H79" s="360" t="s">
        <v>291</v>
      </c>
      <c r="I79" s="360" t="s">
        <v>2</v>
      </c>
      <c r="J79" s="60">
        <v>50600000</v>
      </c>
      <c r="K79" s="367">
        <v>50600000</v>
      </c>
      <c r="L79" s="361" t="s">
        <v>168</v>
      </c>
      <c r="M79" s="367"/>
      <c r="N79" s="367"/>
      <c r="O79" s="60">
        <f t="shared" si="4"/>
        <v>50600000</v>
      </c>
      <c r="P79" s="355" t="s">
        <v>76</v>
      </c>
      <c r="Q79" s="204" t="s">
        <v>501</v>
      </c>
      <c r="R79" s="3"/>
      <c r="S79" s="5"/>
    </row>
    <row r="80" spans="1:19" s="4" customFormat="1" ht="40.5" customHeight="1" outlineLevel="1" x14ac:dyDescent="0.25">
      <c r="A80" s="354">
        <v>47</v>
      </c>
      <c r="B80" s="361" t="s">
        <v>167</v>
      </c>
      <c r="C80" s="355" t="s">
        <v>133</v>
      </c>
      <c r="D80" s="360" t="s">
        <v>473</v>
      </c>
      <c r="E80" s="360"/>
      <c r="F80" s="360" t="s">
        <v>441</v>
      </c>
      <c r="G80" s="360" t="s">
        <v>342</v>
      </c>
      <c r="H80" s="360" t="s">
        <v>292</v>
      </c>
      <c r="I80" s="355" t="s">
        <v>2</v>
      </c>
      <c r="J80" s="60">
        <v>1100000000</v>
      </c>
      <c r="K80" s="367">
        <v>1100000000</v>
      </c>
      <c r="L80" s="361" t="s">
        <v>168</v>
      </c>
      <c r="M80" s="367"/>
      <c r="N80" s="367"/>
      <c r="O80" s="60">
        <f t="shared" si="4"/>
        <v>1100000000</v>
      </c>
      <c r="P80" s="554" t="s">
        <v>267</v>
      </c>
      <c r="Q80" s="321" t="s">
        <v>501</v>
      </c>
      <c r="R80" s="3"/>
      <c r="S80" s="5"/>
    </row>
    <row r="81" spans="1:19" s="4" customFormat="1" ht="40.5" outlineLevel="1" x14ac:dyDescent="0.25">
      <c r="A81" s="354">
        <v>48</v>
      </c>
      <c r="B81" s="361" t="s">
        <v>167</v>
      </c>
      <c r="C81" s="355" t="s">
        <v>133</v>
      </c>
      <c r="D81" s="360" t="s">
        <v>473</v>
      </c>
      <c r="E81" s="360"/>
      <c r="F81" s="360" t="s">
        <v>441</v>
      </c>
      <c r="G81" s="360" t="s">
        <v>343</v>
      </c>
      <c r="H81" s="360" t="s">
        <v>293</v>
      </c>
      <c r="I81" s="355" t="s">
        <v>2</v>
      </c>
      <c r="J81" s="60">
        <v>792386600</v>
      </c>
      <c r="K81" s="367">
        <v>791031693</v>
      </c>
      <c r="L81" s="361" t="s">
        <v>168</v>
      </c>
      <c r="M81" s="367"/>
      <c r="N81" s="367"/>
      <c r="O81" s="60">
        <f t="shared" si="4"/>
        <v>791031693</v>
      </c>
      <c r="P81" s="554"/>
      <c r="Q81" s="321" t="s">
        <v>501</v>
      </c>
      <c r="R81" s="3"/>
      <c r="S81" s="5"/>
    </row>
    <row r="82" spans="1:19" s="4" customFormat="1" ht="40.5" outlineLevel="1" x14ac:dyDescent="0.25">
      <c r="A82" s="354">
        <v>49</v>
      </c>
      <c r="B82" s="361" t="s">
        <v>167</v>
      </c>
      <c r="C82" s="355" t="s">
        <v>133</v>
      </c>
      <c r="D82" s="360" t="s">
        <v>473</v>
      </c>
      <c r="E82" s="360"/>
      <c r="F82" s="360" t="s">
        <v>441</v>
      </c>
      <c r="G82" s="360" t="s">
        <v>344</v>
      </c>
      <c r="H82" s="360" t="s">
        <v>294</v>
      </c>
      <c r="I82" s="355" t="s">
        <v>2</v>
      </c>
      <c r="J82" s="60">
        <v>254672300</v>
      </c>
      <c r="K82" s="367">
        <f>168444408+75498000+5196300+5196300</f>
        <v>254335008</v>
      </c>
      <c r="L82" s="361" t="s">
        <v>168</v>
      </c>
      <c r="M82" s="367"/>
      <c r="N82" s="367"/>
      <c r="O82" s="60">
        <f t="shared" si="4"/>
        <v>254335008</v>
      </c>
      <c r="P82" s="554"/>
      <c r="Q82" s="321" t="s">
        <v>501</v>
      </c>
      <c r="R82" s="3"/>
      <c r="S82" s="5"/>
    </row>
    <row r="83" spans="1:19" s="4" customFormat="1" ht="40.5" outlineLevel="1" x14ac:dyDescent="0.25">
      <c r="A83" s="354">
        <v>50</v>
      </c>
      <c r="B83" s="361" t="s">
        <v>169</v>
      </c>
      <c r="C83" s="355" t="s">
        <v>133</v>
      </c>
      <c r="D83" s="360" t="s">
        <v>463</v>
      </c>
      <c r="E83" s="360"/>
      <c r="F83" s="360"/>
      <c r="G83" s="360" t="s">
        <v>345</v>
      </c>
      <c r="H83" s="360" t="s">
        <v>170</v>
      </c>
      <c r="I83" s="355" t="s">
        <v>2</v>
      </c>
      <c r="J83" s="60">
        <v>88731015</v>
      </c>
      <c r="K83" s="367">
        <v>88731000</v>
      </c>
      <c r="L83" s="62">
        <v>8.5000000000000006E-2</v>
      </c>
      <c r="M83" s="367"/>
      <c r="N83" s="367">
        <v>1591081</v>
      </c>
      <c r="O83" s="60">
        <f t="shared" si="4"/>
        <v>88731000</v>
      </c>
      <c r="P83" s="361" t="s">
        <v>171</v>
      </c>
      <c r="Q83" s="321"/>
      <c r="R83" s="3"/>
      <c r="S83" s="5"/>
    </row>
    <row r="84" spans="1:19" ht="81" outlineLevel="1" x14ac:dyDescent="0.25">
      <c r="A84" s="354">
        <v>51</v>
      </c>
      <c r="B84" s="361" t="s">
        <v>175</v>
      </c>
      <c r="C84" s="355" t="s">
        <v>173</v>
      </c>
      <c r="D84" s="355" t="s">
        <v>143</v>
      </c>
      <c r="E84" s="355"/>
      <c r="F84" s="360" t="s">
        <v>441</v>
      </c>
      <c r="G84" s="355" t="s">
        <v>347</v>
      </c>
      <c r="H84" s="355" t="s">
        <v>176</v>
      </c>
      <c r="I84" s="355" t="s">
        <v>51</v>
      </c>
      <c r="J84" s="40">
        <v>8944984.0899999999</v>
      </c>
      <c r="K84" s="367">
        <v>8944984.0899999999</v>
      </c>
      <c r="L84" s="100">
        <v>7.4999999999999997E-3</v>
      </c>
      <c r="M84" s="367">
        <f>2425758.4+151609.9+151609.9+151609.9</f>
        <v>2880588.0999999996</v>
      </c>
      <c r="N84" s="367">
        <f>881276.03+25084.35+24380.12+23943.98+23373.89</f>
        <v>978058.37</v>
      </c>
      <c r="O84" s="357">
        <f t="shared" si="4"/>
        <v>6064395.9900000002</v>
      </c>
      <c r="P84" s="355" t="s">
        <v>76</v>
      </c>
      <c r="Q84" s="204"/>
      <c r="S84" s="5"/>
    </row>
    <row r="85" spans="1:19" ht="55.5" customHeight="1" outlineLevel="1" x14ac:dyDescent="0.25">
      <c r="A85" s="547">
        <v>52</v>
      </c>
      <c r="B85" s="554" t="s">
        <v>177</v>
      </c>
      <c r="C85" s="548" t="s">
        <v>173</v>
      </c>
      <c r="D85" s="548" t="s">
        <v>143</v>
      </c>
      <c r="E85" s="355"/>
      <c r="F85" s="360" t="s">
        <v>441</v>
      </c>
      <c r="G85" s="548" t="s">
        <v>348</v>
      </c>
      <c r="H85" s="355" t="s">
        <v>178</v>
      </c>
      <c r="I85" s="355" t="s">
        <v>51</v>
      </c>
      <c r="J85" s="40">
        <v>5217725</v>
      </c>
      <c r="K85" s="367">
        <v>5217725</v>
      </c>
      <c r="L85" s="100">
        <v>7.4999999999999997E-3</v>
      </c>
      <c r="M85" s="367">
        <f>782658.5+52177.25+52177.25+52177.25</f>
        <v>939190.25</v>
      </c>
      <c r="N85" s="367">
        <f>538816.19+16480.36+16284.66</f>
        <v>571581.21</v>
      </c>
      <c r="O85" s="357">
        <f t="shared" si="4"/>
        <v>4278534.75</v>
      </c>
      <c r="P85" s="548" t="s">
        <v>76</v>
      </c>
      <c r="Q85" s="204"/>
      <c r="S85" s="5"/>
    </row>
    <row r="86" spans="1:19" ht="55.5" customHeight="1" outlineLevel="1" x14ac:dyDescent="0.25">
      <c r="A86" s="547"/>
      <c r="B86" s="554"/>
      <c r="C86" s="548"/>
      <c r="D86" s="548"/>
      <c r="E86" s="355"/>
      <c r="F86" s="360" t="s">
        <v>441</v>
      </c>
      <c r="G86" s="548"/>
      <c r="H86" s="355" t="s">
        <v>178</v>
      </c>
      <c r="I86" s="355" t="s">
        <v>2</v>
      </c>
      <c r="J86" s="40">
        <v>93025000</v>
      </c>
      <c r="K86" s="367">
        <v>93025000</v>
      </c>
      <c r="L86" s="100">
        <v>7.4999999999999997E-3</v>
      </c>
      <c r="M86" s="367">
        <f>13953750+930250+930250+930250</f>
        <v>16744500</v>
      </c>
      <c r="N86" s="367">
        <f>9237334.28+296030+287830</f>
        <v>9821194.2799999993</v>
      </c>
      <c r="O86" s="357">
        <f t="shared" si="4"/>
        <v>76280500</v>
      </c>
      <c r="P86" s="548"/>
      <c r="Q86" s="204"/>
      <c r="S86" s="5"/>
    </row>
    <row r="87" spans="1:19" ht="81" outlineLevel="1" x14ac:dyDescent="0.25">
      <c r="A87" s="354">
        <v>53</v>
      </c>
      <c r="B87" s="361" t="s">
        <v>179</v>
      </c>
      <c r="C87" s="355" t="s">
        <v>173</v>
      </c>
      <c r="D87" s="355" t="s">
        <v>143</v>
      </c>
      <c r="E87" s="355"/>
      <c r="F87" s="360" t="s">
        <v>441</v>
      </c>
      <c r="G87" s="355" t="s">
        <v>349</v>
      </c>
      <c r="H87" s="355" t="s">
        <v>180</v>
      </c>
      <c r="I87" s="355" t="s">
        <v>51</v>
      </c>
      <c r="J87" s="40">
        <v>1989000</v>
      </c>
      <c r="K87" s="367">
        <v>1989000</v>
      </c>
      <c r="L87" s="100">
        <v>7.4999999999999997E-3</v>
      </c>
      <c r="M87" s="367">
        <f>337118.7+33711.86+33711.86+33711.86</f>
        <v>438254.27999999997</v>
      </c>
      <c r="N87" s="367">
        <f>177150.18+6084.76+5957.99</f>
        <v>189192.93</v>
      </c>
      <c r="O87" s="357">
        <f t="shared" si="4"/>
        <v>1550745.72</v>
      </c>
      <c r="P87" s="355" t="s">
        <v>76</v>
      </c>
      <c r="Q87" s="204"/>
      <c r="S87" s="5"/>
    </row>
    <row r="88" spans="1:19" ht="94.5" outlineLevel="1" x14ac:dyDescent="0.25">
      <c r="A88" s="354">
        <v>54</v>
      </c>
      <c r="B88" s="361" t="s">
        <v>295</v>
      </c>
      <c r="C88" s="355" t="s">
        <v>296</v>
      </c>
      <c r="D88" s="355" t="s">
        <v>143</v>
      </c>
      <c r="E88" s="355"/>
      <c r="F88" s="360" t="s">
        <v>441</v>
      </c>
      <c r="G88" s="355" t="s">
        <v>350</v>
      </c>
      <c r="H88" s="355" t="s">
        <v>297</v>
      </c>
      <c r="I88" s="355" t="s">
        <v>2</v>
      </c>
      <c r="J88" s="40">
        <v>2047212646</v>
      </c>
      <c r="K88" s="367">
        <v>2047212646</v>
      </c>
      <c r="L88" s="100">
        <v>0.02</v>
      </c>
      <c r="M88" s="367">
        <v>0</v>
      </c>
      <c r="N88" s="367">
        <f>88017538.4+20640391+20640391+20303862+20640391</f>
        <v>170242573.40000001</v>
      </c>
      <c r="O88" s="357">
        <f t="shared" si="4"/>
        <v>2047212646</v>
      </c>
      <c r="P88" s="355" t="s">
        <v>76</v>
      </c>
      <c r="Q88" s="204"/>
      <c r="S88" s="5"/>
    </row>
    <row r="89" spans="1:19" ht="144" customHeight="1" outlineLevel="1" x14ac:dyDescent="0.25">
      <c r="A89" s="354">
        <v>55</v>
      </c>
      <c r="B89" s="361" t="s">
        <v>181</v>
      </c>
      <c r="C89" s="355" t="s">
        <v>182</v>
      </c>
      <c r="D89" s="355" t="s">
        <v>93</v>
      </c>
      <c r="E89" s="355"/>
      <c r="F89" s="355" t="s">
        <v>441</v>
      </c>
      <c r="G89" s="355" t="s">
        <v>492</v>
      </c>
      <c r="H89" s="355" t="s">
        <v>183</v>
      </c>
      <c r="I89" s="355" t="s">
        <v>51</v>
      </c>
      <c r="J89" s="40">
        <v>2217000</v>
      </c>
      <c r="K89" s="40">
        <v>2217000</v>
      </c>
      <c r="L89" s="62">
        <v>0.02</v>
      </c>
      <c r="M89" s="367">
        <f>1656550.78+18166.04+7000680/387.28+18122.86+18122.86+32122.86+28837.1+8000+8000+8000+20000+20000+20000+20000</f>
        <v>1893999.0337740141</v>
      </c>
      <c r="N89" s="367">
        <f>108750.120345235+1633.42+698950/387.28+1809.39+1778.61+1691.44+3308.88+1649.96+1632.88+1515.4+1606.14+1524.38+1543.23+1460.82</f>
        <v>131709.4369223885</v>
      </c>
      <c r="O89" s="357">
        <f t="shared" si="4"/>
        <v>323000.9662259859</v>
      </c>
      <c r="P89" s="355" t="s">
        <v>184</v>
      </c>
      <c r="Q89" s="204" t="s">
        <v>498</v>
      </c>
      <c r="S89" s="5"/>
    </row>
    <row r="90" spans="1:19" ht="128.25" customHeight="1" outlineLevel="1" x14ac:dyDescent="0.25">
      <c r="A90" s="354">
        <v>56</v>
      </c>
      <c r="B90" s="361" t="s">
        <v>284</v>
      </c>
      <c r="C90" s="355" t="s">
        <v>285</v>
      </c>
      <c r="D90" s="355" t="s">
        <v>118</v>
      </c>
      <c r="E90" s="355"/>
      <c r="F90" s="360" t="s">
        <v>497</v>
      </c>
      <c r="G90" s="355" t="s">
        <v>352</v>
      </c>
      <c r="H90" s="355" t="s">
        <v>287</v>
      </c>
      <c r="I90" s="355" t="s">
        <v>29</v>
      </c>
      <c r="J90" s="40">
        <f>4199559.68+12720691.2+1113060.48+1966688.64</f>
        <v>20000000</v>
      </c>
      <c r="K90" s="40">
        <f>J90</f>
        <v>20000000</v>
      </c>
      <c r="L90" s="62" t="s">
        <v>288</v>
      </c>
      <c r="M90" s="367"/>
      <c r="N90" s="67">
        <f>77849.88+103888.1+413918.01+520635</f>
        <v>1116290.99</v>
      </c>
      <c r="O90" s="357">
        <f t="shared" si="4"/>
        <v>20000000</v>
      </c>
      <c r="P90" s="355" t="s">
        <v>289</v>
      </c>
      <c r="Q90" s="204" t="s">
        <v>498</v>
      </c>
      <c r="S90" s="5"/>
    </row>
    <row r="91" spans="1:19" s="4" customFormat="1" ht="38.25" customHeight="1" outlineLevel="1" x14ac:dyDescent="0.25">
      <c r="A91" s="547">
        <v>57</v>
      </c>
      <c r="B91" s="554" t="s">
        <v>185</v>
      </c>
      <c r="C91" s="548" t="s">
        <v>186</v>
      </c>
      <c r="D91" s="548"/>
      <c r="E91" s="355"/>
      <c r="F91" s="360"/>
      <c r="G91" s="553" t="s">
        <v>353</v>
      </c>
      <c r="H91" s="553" t="s">
        <v>187</v>
      </c>
      <c r="I91" s="356" t="s">
        <v>51</v>
      </c>
      <c r="J91" s="60">
        <v>237758.39</v>
      </c>
      <c r="K91" s="367">
        <v>237758.39</v>
      </c>
      <c r="L91" s="368"/>
      <c r="M91" s="367"/>
      <c r="N91" s="367"/>
      <c r="O91" s="60">
        <f t="shared" si="4"/>
        <v>237758.39</v>
      </c>
      <c r="P91" s="548" t="s">
        <v>76</v>
      </c>
      <c r="Q91" s="204"/>
      <c r="R91" s="3"/>
      <c r="S91" s="5"/>
    </row>
    <row r="92" spans="1:19" s="4" customFormat="1" ht="45" customHeight="1" outlineLevel="1" x14ac:dyDescent="0.25">
      <c r="A92" s="547"/>
      <c r="B92" s="554"/>
      <c r="C92" s="548"/>
      <c r="D92" s="548"/>
      <c r="E92" s="355"/>
      <c r="F92" s="355"/>
      <c r="G92" s="553"/>
      <c r="H92" s="553"/>
      <c r="I92" s="356" t="s">
        <v>2</v>
      </c>
      <c r="J92" s="60">
        <v>28883700</v>
      </c>
      <c r="K92" s="367">
        <v>28883700</v>
      </c>
      <c r="L92" s="368"/>
      <c r="M92" s="367"/>
      <c r="N92" s="367"/>
      <c r="O92" s="60">
        <f t="shared" si="4"/>
        <v>28883700</v>
      </c>
      <c r="P92" s="548"/>
      <c r="Q92" s="204"/>
      <c r="R92" s="3"/>
      <c r="S92" s="5"/>
    </row>
    <row r="93" spans="1:19" s="2" customFormat="1" ht="59.25" customHeight="1" outlineLevel="1" x14ac:dyDescent="0.25">
      <c r="A93" s="354">
        <v>58</v>
      </c>
      <c r="B93" s="361" t="s">
        <v>111</v>
      </c>
      <c r="C93" s="355" t="s">
        <v>112</v>
      </c>
      <c r="D93" s="355" t="s">
        <v>463</v>
      </c>
      <c r="E93" s="355"/>
      <c r="F93" s="360"/>
      <c r="G93" s="355" t="s">
        <v>354</v>
      </c>
      <c r="H93" s="355" t="s">
        <v>114</v>
      </c>
      <c r="I93" s="355" t="s">
        <v>2</v>
      </c>
      <c r="J93" s="367">
        <v>303444194</v>
      </c>
      <c r="K93" s="367">
        <v>303444194</v>
      </c>
      <c r="L93" s="368">
        <v>0</v>
      </c>
      <c r="M93" s="367"/>
      <c r="N93" s="367"/>
      <c r="O93" s="357">
        <f t="shared" si="4"/>
        <v>303444194</v>
      </c>
      <c r="P93" s="355" t="s">
        <v>76</v>
      </c>
      <c r="Q93" s="204"/>
      <c r="R93" s="1"/>
      <c r="S93" s="5"/>
    </row>
    <row r="94" spans="1:19" ht="51" customHeight="1" x14ac:dyDescent="0.25">
      <c r="A94" s="354">
        <v>59</v>
      </c>
      <c r="B94" s="361" t="s">
        <v>440</v>
      </c>
      <c r="C94" s="355" t="s">
        <v>441</v>
      </c>
      <c r="D94" s="355" t="s">
        <v>463</v>
      </c>
      <c r="E94" s="355"/>
      <c r="F94" s="355" t="s">
        <v>441</v>
      </c>
      <c r="G94" s="355" t="s">
        <v>442</v>
      </c>
      <c r="H94" s="355" t="s">
        <v>443</v>
      </c>
      <c r="I94" s="355" t="s">
        <v>2</v>
      </c>
      <c r="J94" s="367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355" t="s">
        <v>444</v>
      </c>
      <c r="Q94" s="204"/>
      <c r="S94" s="5"/>
    </row>
    <row r="95" spans="1:19" ht="155.25" customHeight="1" x14ac:dyDescent="0.25">
      <c r="A95" s="354">
        <v>60</v>
      </c>
      <c r="B95" s="361" t="s">
        <v>481</v>
      </c>
      <c r="C95" s="355" t="s">
        <v>441</v>
      </c>
      <c r="D95" s="355" t="s">
        <v>463</v>
      </c>
      <c r="E95" s="355"/>
      <c r="F95" s="360" t="s">
        <v>441</v>
      </c>
      <c r="G95" s="355"/>
      <c r="H95" s="355" t="s">
        <v>482</v>
      </c>
      <c r="I95" s="355" t="s">
        <v>2</v>
      </c>
      <c r="J95" s="367">
        <v>3500000000</v>
      </c>
      <c r="K95" s="367">
        <v>3500000000</v>
      </c>
      <c r="L95" s="62">
        <v>0.08</v>
      </c>
      <c r="M95" s="40"/>
      <c r="N95" s="40"/>
      <c r="O95" s="60">
        <f t="shared" si="4"/>
        <v>3500000000</v>
      </c>
      <c r="P95" s="355" t="s">
        <v>483</v>
      </c>
      <c r="Q95" s="204" t="s">
        <v>498</v>
      </c>
      <c r="S95" s="5"/>
    </row>
    <row r="96" spans="1:19" s="2" customFormat="1" ht="47.25" customHeight="1" outlineLevel="1" x14ac:dyDescent="0.25">
      <c r="A96" s="354">
        <v>61</v>
      </c>
      <c r="B96" s="355" t="s">
        <v>484</v>
      </c>
      <c r="C96" s="355" t="s">
        <v>441</v>
      </c>
      <c r="D96" s="355" t="s">
        <v>463</v>
      </c>
      <c r="E96" s="355"/>
      <c r="F96" s="360" t="s">
        <v>441</v>
      </c>
      <c r="G96" s="58" t="s">
        <v>447</v>
      </c>
      <c r="H96" s="355" t="s">
        <v>263</v>
      </c>
      <c r="I96" s="355" t="s">
        <v>2</v>
      </c>
      <c r="J96" s="367">
        <v>2000000000</v>
      </c>
      <c r="K96" s="367">
        <v>2000000000</v>
      </c>
      <c r="L96" s="366">
        <v>1E-4</v>
      </c>
      <c r="M96" s="367"/>
      <c r="N96" s="367"/>
      <c r="O96" s="357">
        <f t="shared" si="4"/>
        <v>2000000000</v>
      </c>
      <c r="P96" s="355" t="s">
        <v>448</v>
      </c>
      <c r="Q96" s="204" t="s">
        <v>498</v>
      </c>
      <c r="R96" s="1"/>
      <c r="S96" s="5"/>
    </row>
    <row r="97" spans="1:19" s="2" customFormat="1" ht="47.25" customHeight="1" outlineLevel="1" x14ac:dyDescent="0.25">
      <c r="A97" s="354">
        <v>62</v>
      </c>
      <c r="B97" s="355" t="s">
        <v>188</v>
      </c>
      <c r="C97" s="355" t="s">
        <v>189</v>
      </c>
      <c r="D97" s="355" t="s">
        <v>485</v>
      </c>
      <c r="E97" s="355"/>
      <c r="F97" s="360" t="s">
        <v>441</v>
      </c>
      <c r="G97" s="58" t="s">
        <v>355</v>
      </c>
      <c r="H97" s="355" t="s">
        <v>191</v>
      </c>
      <c r="I97" s="355" t="s">
        <v>51</v>
      </c>
      <c r="J97" s="367">
        <v>10000000</v>
      </c>
      <c r="K97" s="367">
        <v>10000000</v>
      </c>
      <c r="L97" s="366" t="s">
        <v>192</v>
      </c>
      <c r="M97" s="367">
        <v>2553676.86</v>
      </c>
      <c r="N97" s="367">
        <f>3533579.15874841+18816925/512.41+16022937.4/426.85+37537.63+37130+36723+37538+'[2]15,08,20 գործող'!$I$55+'[2]15,08,20 գործող'!$I$56+121220+144673</f>
        <v>4097736.4704706864</v>
      </c>
      <c r="O97" s="357">
        <f>K97-M97</f>
        <v>7446323.1400000006</v>
      </c>
      <c r="P97" s="355" t="s">
        <v>193</v>
      </c>
      <c r="Q97" s="204" t="s">
        <v>498</v>
      </c>
      <c r="R97" s="1"/>
      <c r="S97" s="5"/>
    </row>
    <row r="98" spans="1:19" s="2" customFormat="1" ht="51" customHeight="1" outlineLevel="1" x14ac:dyDescent="0.25">
      <c r="A98" s="354">
        <v>63</v>
      </c>
      <c r="B98" s="355" t="s">
        <v>188</v>
      </c>
      <c r="C98" s="355" t="s">
        <v>502</v>
      </c>
      <c r="D98" s="355" t="s">
        <v>485</v>
      </c>
      <c r="E98" s="355"/>
      <c r="F98" s="360" t="s">
        <v>441</v>
      </c>
      <c r="G98" s="58" t="s">
        <v>356</v>
      </c>
      <c r="H98" s="355" t="s">
        <v>194</v>
      </c>
      <c r="I98" s="355" t="s">
        <v>2</v>
      </c>
      <c r="J98" s="367">
        <v>8000000000</v>
      </c>
      <c r="K98" s="367">
        <v>8000000000</v>
      </c>
      <c r="L98" s="366" t="s">
        <v>195</v>
      </c>
      <c r="M98" s="367"/>
      <c r="N98" s="367">
        <f>3496438357+79342466+80657534+79342466+79342466+1315069+216021918</f>
        <v>4032460276</v>
      </c>
      <c r="O98" s="357">
        <f>K98-M98</f>
        <v>8000000000</v>
      </c>
      <c r="P98" s="355" t="s">
        <v>196</v>
      </c>
      <c r="Q98" s="204" t="s">
        <v>498</v>
      </c>
      <c r="R98" s="1"/>
      <c r="S98" s="5"/>
    </row>
    <row r="99" spans="1:19" s="9" customFormat="1" ht="24.75" customHeight="1" x14ac:dyDescent="0.25">
      <c r="A99" s="485" t="s">
        <v>197</v>
      </c>
      <c r="B99" s="486"/>
      <c r="C99" s="486"/>
      <c r="D99" s="41"/>
      <c r="E99" s="355"/>
      <c r="F99" s="54"/>
      <c r="G99" s="422"/>
      <c r="H99" s="54"/>
      <c r="I99" s="54" t="s">
        <v>29</v>
      </c>
      <c r="J99" s="11">
        <f>SUMIF($I$72:$I$98,I99,$J$72:$J$98)</f>
        <v>41500000</v>
      </c>
      <c r="K99" s="11">
        <f>SUMIF($I$72:$I$98,I99,$K$72:$K$98)</f>
        <v>22503571.57</v>
      </c>
      <c r="L99" s="11"/>
      <c r="M99" s="11">
        <f>SUMIF($I$72:$I$98,I99,$M$72:$M$98)</f>
        <v>32723.821703756206</v>
      </c>
      <c r="N99" s="11">
        <f>SUMIF($I$72:$I$98,I99,$N$72:$N$98)</f>
        <v>1312504.2098881821</v>
      </c>
      <c r="O99" s="11">
        <f>SUMIF($I$72:$I$98,I99,$O$72:$O$98)</f>
        <v>22470847.748296242</v>
      </c>
      <c r="P99" s="11"/>
      <c r="Q99" s="318"/>
      <c r="R99" s="8"/>
      <c r="S99" s="5"/>
    </row>
    <row r="100" spans="1:19" s="9" customFormat="1" ht="39" customHeight="1" x14ac:dyDescent="0.25">
      <c r="A100" s="485"/>
      <c r="B100" s="486"/>
      <c r="C100" s="486"/>
      <c r="D100" s="41"/>
      <c r="E100" s="355"/>
      <c r="F100" s="54"/>
      <c r="G100" s="422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1"/>
      <c r="Q100" s="318"/>
      <c r="R100" s="8"/>
      <c r="S100" s="5"/>
    </row>
    <row r="101" spans="1:19" s="9" customFormat="1" ht="39" customHeight="1" x14ac:dyDescent="0.25">
      <c r="A101" s="485"/>
      <c r="B101" s="486"/>
      <c r="C101" s="486"/>
      <c r="D101" s="41"/>
      <c r="E101" s="355"/>
      <c r="F101" s="54"/>
      <c r="G101" s="422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9585918.7506632656</v>
      </c>
      <c r="N101" s="11">
        <f>SUMIF($I$72:$I$98,I101,$N$72:$N$98)</f>
        <v>6383242.4173465315</v>
      </c>
      <c r="O101" s="11">
        <f>SUMIF($I$72:$I$98,I101,$O$72:$O$98)</f>
        <v>20251042.799336735</v>
      </c>
      <c r="P101" s="11"/>
      <c r="Q101" s="318"/>
      <c r="R101" s="8"/>
      <c r="S101" s="5"/>
    </row>
    <row r="102" spans="1:19" s="9" customFormat="1" ht="39" customHeight="1" x14ac:dyDescent="0.25">
      <c r="A102" s="485"/>
      <c r="B102" s="486"/>
      <c r="C102" s="486"/>
      <c r="D102" s="41"/>
      <c r="E102" s="355"/>
      <c r="F102" s="54"/>
      <c r="G102" s="422"/>
      <c r="H102" s="54"/>
      <c r="I102" s="54" t="s">
        <v>71</v>
      </c>
      <c r="J102" s="11">
        <f>SUMIF($I$72:$I$98,I102,$J$72:$J$98)</f>
        <v>0</v>
      </c>
      <c r="K102" s="11">
        <f>SUMIF($I$72:$I$98,I102,$K$72:$K$98)</f>
        <v>0</v>
      </c>
      <c r="L102" s="11"/>
      <c r="M102" s="11">
        <f>SUMIF($I$72:$I$98,I102,$M$72:$M$98)</f>
        <v>0</v>
      </c>
      <c r="N102" s="11">
        <f>SUMIF($I$72:$I$98,I102,$N$72:$N$98)</f>
        <v>0</v>
      </c>
      <c r="O102" s="11">
        <f>SUMIF($I$72:$I$98,I102,$O$72:$O$98)</f>
        <v>0</v>
      </c>
      <c r="P102" s="11"/>
      <c r="Q102" s="318"/>
      <c r="R102" s="8"/>
      <c r="S102" s="5"/>
    </row>
    <row r="103" spans="1:19" s="4" customFormat="1" ht="156.75" customHeight="1" outlineLevel="1" x14ac:dyDescent="0.25">
      <c r="A103" s="354">
        <v>64</v>
      </c>
      <c r="B103" s="355" t="s">
        <v>0</v>
      </c>
      <c r="C103" s="355" t="s">
        <v>1</v>
      </c>
      <c r="D103" s="355" t="s">
        <v>463</v>
      </c>
      <c r="E103" s="355"/>
      <c r="F103" s="360"/>
      <c r="G103" s="360" t="s">
        <v>357</v>
      </c>
      <c r="H103" s="360" t="s">
        <v>198</v>
      </c>
      <c r="I103" s="355" t="s">
        <v>2</v>
      </c>
      <c r="J103" s="60">
        <f>3047000000+3000000000</f>
        <v>6047000000</v>
      </c>
      <c r="K103" s="40">
        <v>6000000000</v>
      </c>
      <c r="L103" s="368"/>
      <c r="M103" s="40">
        <f>4439902959+260956717.5+995441267.7+73262192.2+103703140+88648827.6+23704487.9+9999937.1</f>
        <v>5995619529</v>
      </c>
      <c r="N103" s="40"/>
      <c r="O103" s="367">
        <f t="shared" ref="O103:O108" si="5">K103-M103</f>
        <v>4380471</v>
      </c>
      <c r="P103" s="361" t="s">
        <v>76</v>
      </c>
      <c r="Q103" s="321"/>
      <c r="R103" s="3"/>
      <c r="S103" s="5"/>
    </row>
    <row r="104" spans="1:19" s="4" customFormat="1" ht="147" customHeight="1" outlineLevel="1" x14ac:dyDescent="0.25">
      <c r="A104" s="354">
        <v>65</v>
      </c>
      <c r="B104" s="355" t="s">
        <v>0</v>
      </c>
      <c r="C104" s="548" t="s">
        <v>7</v>
      </c>
      <c r="D104" s="355" t="s">
        <v>463</v>
      </c>
      <c r="E104" s="355"/>
      <c r="F104" s="360"/>
      <c r="G104" s="360" t="s">
        <v>488</v>
      </c>
      <c r="H104" s="360" t="s">
        <v>9</v>
      </c>
      <c r="I104" s="355" t="s">
        <v>2</v>
      </c>
      <c r="J104" s="367">
        <v>2000000000</v>
      </c>
      <c r="K104" s="40">
        <v>2000000000</v>
      </c>
      <c r="L104" s="368">
        <v>2.7E-2</v>
      </c>
      <c r="M104" s="40"/>
      <c r="N104" s="357">
        <f>68417269.8+13462993.2+49643.9+1421840.5+38566246.5+491534.9+1119195.4+178355+29883.2+10588.6+3022.3</f>
        <v>123750573.30000001</v>
      </c>
      <c r="O104" s="357">
        <f t="shared" si="5"/>
        <v>2000000000</v>
      </c>
      <c r="P104" s="361" t="s">
        <v>76</v>
      </c>
      <c r="Q104" s="321"/>
      <c r="R104" s="3"/>
      <c r="S104" s="5"/>
    </row>
    <row r="105" spans="1:19" s="4" customFormat="1" ht="144.75" customHeight="1" outlineLevel="1" x14ac:dyDescent="0.25">
      <c r="A105" s="354">
        <v>66</v>
      </c>
      <c r="B105" s="355" t="s">
        <v>0</v>
      </c>
      <c r="C105" s="548"/>
      <c r="D105" s="362" t="s">
        <v>463</v>
      </c>
      <c r="E105" s="362"/>
      <c r="F105" s="360"/>
      <c r="G105" s="360" t="s">
        <v>489</v>
      </c>
      <c r="H105" s="360" t="s">
        <v>11</v>
      </c>
      <c r="I105" s="355" t="s">
        <v>2</v>
      </c>
      <c r="J105" s="367">
        <v>2000000000</v>
      </c>
      <c r="K105" s="40">
        <v>2000000000</v>
      </c>
      <c r="L105" s="368">
        <v>5.7000000000000002E-2</v>
      </c>
      <c r="M105" s="40"/>
      <c r="N105" s="40">
        <f>153819379.6+28421448.8+780809.1+528470.5+2614769.3+283790.1+5159868.8+1406739.9</f>
        <v>193015276.10000002</v>
      </c>
      <c r="O105" s="357">
        <f t="shared" si="5"/>
        <v>2000000000</v>
      </c>
      <c r="P105" s="361" t="s">
        <v>76</v>
      </c>
      <c r="Q105" s="321"/>
      <c r="R105" s="3"/>
      <c r="S105" s="5"/>
    </row>
    <row r="106" spans="1:19" s="4" customFormat="1" ht="168" customHeight="1" outlineLevel="1" x14ac:dyDescent="0.25">
      <c r="A106" s="354">
        <v>67</v>
      </c>
      <c r="B106" s="33" t="s">
        <v>0</v>
      </c>
      <c r="C106" s="548"/>
      <c r="D106" s="355"/>
      <c r="E106" s="355"/>
      <c r="F106" s="360"/>
      <c r="G106" s="360" t="s">
        <v>490</v>
      </c>
      <c r="H106" s="360" t="s">
        <v>199</v>
      </c>
      <c r="I106" s="355" t="s">
        <v>2</v>
      </c>
      <c r="J106" s="367">
        <v>5000000000</v>
      </c>
      <c r="K106" s="40">
        <v>5000000000</v>
      </c>
      <c r="L106" s="368">
        <v>2.7E-2</v>
      </c>
      <c r="M106" s="40"/>
      <c r="N106" s="40">
        <f>34209157.5+76580313.4+83507353.3+1840160.7</f>
        <v>196136984.89999998</v>
      </c>
      <c r="O106" s="357">
        <f t="shared" si="5"/>
        <v>5000000000</v>
      </c>
      <c r="P106" s="361" t="s">
        <v>76</v>
      </c>
      <c r="Q106" s="321"/>
      <c r="R106" s="3"/>
      <c r="S106" s="5"/>
    </row>
    <row r="107" spans="1:19" s="4" customFormat="1" ht="162" outlineLevel="1" x14ac:dyDescent="0.25">
      <c r="A107" s="354">
        <v>68</v>
      </c>
      <c r="B107" s="355" t="s">
        <v>3</v>
      </c>
      <c r="C107" s="355" t="s">
        <v>5</v>
      </c>
      <c r="D107" s="355" t="s">
        <v>463</v>
      </c>
      <c r="E107" s="355"/>
      <c r="F107" s="360"/>
      <c r="G107" s="360" t="s">
        <v>358</v>
      </c>
      <c r="H107" s="360" t="s">
        <v>6</v>
      </c>
      <c r="I107" s="355" t="s">
        <v>2</v>
      </c>
      <c r="J107" s="367">
        <v>562500000</v>
      </c>
      <c r="K107" s="40">
        <v>562500000</v>
      </c>
      <c r="L107" s="368"/>
      <c r="M107" s="40"/>
      <c r="N107" s="40"/>
      <c r="O107" s="357">
        <f t="shared" si="5"/>
        <v>562500000</v>
      </c>
      <c r="P107" s="361" t="s">
        <v>76</v>
      </c>
      <c r="Q107" s="321"/>
      <c r="R107" s="3"/>
      <c r="S107" s="5"/>
    </row>
    <row r="108" spans="1:19" s="4" customFormat="1" ht="94.5" outlineLevel="1" x14ac:dyDescent="0.25">
      <c r="A108" s="354">
        <v>69</v>
      </c>
      <c r="B108" s="355" t="s">
        <v>3</v>
      </c>
      <c r="C108" s="355" t="s">
        <v>4</v>
      </c>
      <c r="D108" s="355" t="s">
        <v>463</v>
      </c>
      <c r="E108" s="355"/>
      <c r="F108" s="360"/>
      <c r="G108" s="360"/>
      <c r="H108" s="360" t="s">
        <v>369</v>
      </c>
      <c r="I108" s="355" t="s">
        <v>2</v>
      </c>
      <c r="J108" s="367">
        <f>2000000000+7300000000</f>
        <v>9300000000</v>
      </c>
      <c r="K108" s="40">
        <f>9024295000</f>
        <v>9024295000</v>
      </c>
      <c r="L108" s="368"/>
      <c r="M108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</f>
        <v>8821870683.8000069</v>
      </c>
      <c r="N108" s="40">
        <f>34040214.6+16030636.8+1797857.1+7375602.5+3983531.1+11814600.3+22459610.6+9668538.8+11671711.4+6908264.6+1329981.6</f>
        <v>127080549.39999999</v>
      </c>
      <c r="O108" s="357">
        <f t="shared" si="5"/>
        <v>202424316.19999313</v>
      </c>
      <c r="P108" s="361" t="s">
        <v>76</v>
      </c>
      <c r="Q108" s="321"/>
      <c r="R108" s="3"/>
      <c r="S108" s="5"/>
    </row>
    <row r="109" spans="1:19" s="9" customFormat="1" ht="30" customHeight="1" x14ac:dyDescent="0.25">
      <c r="A109" s="485" t="s">
        <v>200</v>
      </c>
      <c r="B109" s="486"/>
      <c r="C109" s="486"/>
      <c r="D109" s="41"/>
      <c r="E109" s="355"/>
      <c r="F109" s="54"/>
      <c r="G109" s="422"/>
      <c r="H109" s="54"/>
      <c r="I109" s="54" t="s">
        <v>29</v>
      </c>
      <c r="J109" s="11">
        <f>SUMIF($I$103:$I$108,I109,$J$103:$J$108)</f>
        <v>0</v>
      </c>
      <c r="K109" s="11">
        <f>SUMIF($I$103:$I$108,I109,$K$103:$K$108)</f>
        <v>0</v>
      </c>
      <c r="L109" s="11"/>
      <c r="M109" s="11">
        <f>SUMIF($I$103:$I$108,I109,$M$103:$M$108)</f>
        <v>0</v>
      </c>
      <c r="N109" s="11">
        <f>SUMIF($I$103:$I$108,I109,$N$103:$N$108)</f>
        <v>0</v>
      </c>
      <c r="O109" s="11">
        <f>SUMIF($I$103:$I$108,I109,$O$103:$O$108)</f>
        <v>0</v>
      </c>
      <c r="P109" s="11"/>
      <c r="Q109" s="318"/>
      <c r="R109" s="3"/>
      <c r="S109" s="5"/>
    </row>
    <row r="110" spans="1:19" s="9" customFormat="1" ht="27" customHeight="1" x14ac:dyDescent="0.25">
      <c r="A110" s="485"/>
      <c r="B110" s="486"/>
      <c r="C110" s="486"/>
      <c r="D110" s="41"/>
      <c r="E110" s="355"/>
      <c r="F110" s="54"/>
      <c r="G110" s="422"/>
      <c r="H110" s="54"/>
      <c r="I110" s="54" t="s">
        <v>2</v>
      </c>
      <c r="J110" s="11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14817490212.800007</v>
      </c>
      <c r="N110" s="11">
        <f>SUMIF($I$103:$I$108,I110,$N$103:$N$108)</f>
        <v>639983383.70000005</v>
      </c>
      <c r="O110" s="11">
        <f>SUMIF($I$103:$I$108,I110,$O$103:$O$108)</f>
        <v>9769304787.1999931</v>
      </c>
      <c r="P110" s="11"/>
      <c r="Q110" s="318"/>
      <c r="R110" s="3"/>
      <c r="S110" s="5"/>
    </row>
    <row r="111" spans="1:19" s="9" customFormat="1" ht="28.5" customHeight="1" x14ac:dyDescent="0.25">
      <c r="A111" s="485"/>
      <c r="B111" s="486"/>
      <c r="C111" s="486"/>
      <c r="D111" s="41"/>
      <c r="E111" s="355"/>
      <c r="F111" s="54"/>
      <c r="G111" s="422"/>
      <c r="H111" s="54"/>
      <c r="I111" s="54" t="s">
        <v>51</v>
      </c>
      <c r="J111" s="11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1"/>
      <c r="Q111" s="318"/>
      <c r="R111" s="8"/>
      <c r="S111" s="5"/>
    </row>
    <row r="112" spans="1:19" s="9" customFormat="1" ht="30" customHeight="1" x14ac:dyDescent="0.25">
      <c r="A112" s="485"/>
      <c r="B112" s="486"/>
      <c r="C112" s="486"/>
      <c r="D112" s="41"/>
      <c r="E112" s="355"/>
      <c r="F112" s="54"/>
      <c r="G112" s="422"/>
      <c r="H112" s="54"/>
      <c r="I112" s="54" t="s">
        <v>71</v>
      </c>
      <c r="J112" s="11">
        <f>SUMIF($I$103:$I$108,I112,$J$103:$J$108)</f>
        <v>0</v>
      </c>
      <c r="K112" s="11">
        <f>SUMIF($I$103:$I$108,I112,$K$103:$K$108)</f>
        <v>0</v>
      </c>
      <c r="L112" s="11"/>
      <c r="M112" s="11">
        <f>SUMIF($I$103:$I$108,I112,$M$103:$M$108)</f>
        <v>0</v>
      </c>
      <c r="N112" s="11">
        <f>SUMIF($I$103:$I$108,I112,$N$103:$N$108)</f>
        <v>0</v>
      </c>
      <c r="O112" s="11">
        <f>SUMIF($I$103:$I$108,I112,$O$103:$O$108)</f>
        <v>0</v>
      </c>
      <c r="P112" s="11"/>
      <c r="Q112" s="318"/>
      <c r="R112" s="8"/>
      <c r="S112" s="5"/>
    </row>
    <row r="113" spans="1:19" s="4" customFormat="1" ht="121.5" outlineLevel="1" x14ac:dyDescent="0.25">
      <c r="A113" s="354">
        <v>70</v>
      </c>
      <c r="B113" s="361" t="s">
        <v>201</v>
      </c>
      <c r="C113" s="361" t="s">
        <v>202</v>
      </c>
      <c r="D113" s="355" t="s">
        <v>463</v>
      </c>
      <c r="E113" s="355"/>
      <c r="F113" s="355" t="s">
        <v>441</v>
      </c>
      <c r="G113" s="360" t="s">
        <v>359</v>
      </c>
      <c r="H113" s="360" t="s">
        <v>203</v>
      </c>
      <c r="I113" s="355" t="s">
        <v>2</v>
      </c>
      <c r="J113" s="60">
        <v>574491741</v>
      </c>
      <c r="K113" s="60">
        <v>574491741</v>
      </c>
      <c r="L113" s="366">
        <v>1E-4</v>
      </c>
      <c r="M113" s="60">
        <f>132575017.2</f>
        <v>132575017.2</v>
      </c>
      <c r="N113" s="60">
        <f>85623+14165+39966.7</f>
        <v>139754.70000000001</v>
      </c>
      <c r="O113" s="357">
        <f t="shared" ref="O113:O125" si="6">K113-M113</f>
        <v>441916723.80000001</v>
      </c>
      <c r="P113" s="361" t="s">
        <v>204</v>
      </c>
      <c r="Q113" s="321"/>
      <c r="R113" s="3"/>
      <c r="S113" s="5"/>
    </row>
    <row r="114" spans="1:19" s="4" customFormat="1" ht="81" outlineLevel="1" x14ac:dyDescent="0.25">
      <c r="A114" s="354">
        <v>71</v>
      </c>
      <c r="B114" s="361" t="s">
        <v>205</v>
      </c>
      <c r="C114" s="361" t="s">
        <v>202</v>
      </c>
      <c r="D114" s="355" t="s">
        <v>463</v>
      </c>
      <c r="E114" s="355"/>
      <c r="F114" s="355" t="s">
        <v>441</v>
      </c>
      <c r="G114" s="360" t="s">
        <v>360</v>
      </c>
      <c r="H114" s="360" t="s">
        <v>206</v>
      </c>
      <c r="I114" s="355" t="s">
        <v>2</v>
      </c>
      <c r="J114" s="60">
        <v>98612371</v>
      </c>
      <c r="K114" s="60">
        <v>98612371</v>
      </c>
      <c r="L114" s="366">
        <v>1E-4</v>
      </c>
      <c r="M114" s="60"/>
      <c r="N114" s="60">
        <v>17060</v>
      </c>
      <c r="O114" s="357">
        <f t="shared" si="6"/>
        <v>98612371</v>
      </c>
      <c r="P114" s="361" t="s">
        <v>207</v>
      </c>
      <c r="Q114" s="321"/>
      <c r="R114" s="3"/>
      <c r="S114" s="5"/>
    </row>
    <row r="115" spans="1:19" s="4" customFormat="1" ht="81" outlineLevel="1" x14ac:dyDescent="0.25">
      <c r="A115" s="354">
        <v>72</v>
      </c>
      <c r="B115" s="361" t="s">
        <v>208</v>
      </c>
      <c r="C115" s="361" t="s">
        <v>202</v>
      </c>
      <c r="D115" s="355" t="s">
        <v>463</v>
      </c>
      <c r="E115" s="355"/>
      <c r="F115" s="355" t="s">
        <v>441</v>
      </c>
      <c r="G115" s="360" t="s">
        <v>361</v>
      </c>
      <c r="H115" s="360" t="s">
        <v>209</v>
      </c>
      <c r="I115" s="355" t="s">
        <v>2</v>
      </c>
      <c r="J115" s="60">
        <v>60132468</v>
      </c>
      <c r="K115" s="60">
        <v>60132468</v>
      </c>
      <c r="L115" s="366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357">
        <f t="shared" si="6"/>
        <v>18502295</v>
      </c>
      <c r="P115" s="361" t="s">
        <v>210</v>
      </c>
      <c r="Q115" s="321"/>
      <c r="R115" s="15"/>
      <c r="S115" s="5"/>
    </row>
    <row r="116" spans="1:19" s="4" customFormat="1" ht="81" outlineLevel="1" x14ac:dyDescent="0.25">
      <c r="A116" s="354">
        <v>73</v>
      </c>
      <c r="B116" s="361" t="s">
        <v>211</v>
      </c>
      <c r="C116" s="361" t="s">
        <v>202</v>
      </c>
      <c r="D116" s="355" t="s">
        <v>463</v>
      </c>
      <c r="E116" s="355"/>
      <c r="F116" s="355" t="s">
        <v>441</v>
      </c>
      <c r="G116" s="360" t="s">
        <v>362</v>
      </c>
      <c r="H116" s="360" t="s">
        <v>212</v>
      </c>
      <c r="I116" s="355" t="s">
        <v>2</v>
      </c>
      <c r="J116" s="367">
        <f>9500000+12453199</f>
        <v>21953199</v>
      </c>
      <c r="K116" s="60">
        <f>9500000+12453199</f>
        <v>21953199</v>
      </c>
      <c r="L116" s="366">
        <v>1E-4</v>
      </c>
      <c r="M116" s="60"/>
      <c r="N116" s="60">
        <v>3720</v>
      </c>
      <c r="O116" s="357">
        <f t="shared" si="6"/>
        <v>21953199</v>
      </c>
      <c r="P116" s="361" t="s">
        <v>213</v>
      </c>
      <c r="Q116" s="321"/>
      <c r="R116" s="15"/>
      <c r="S116" s="5"/>
    </row>
    <row r="117" spans="1:19" s="4" customFormat="1" ht="129.75" customHeight="1" outlineLevel="1" x14ac:dyDescent="0.25">
      <c r="A117" s="354">
        <v>74</v>
      </c>
      <c r="B117" s="361" t="s">
        <v>214</v>
      </c>
      <c r="C117" s="361" t="s">
        <v>202</v>
      </c>
      <c r="D117" s="355" t="s">
        <v>463</v>
      </c>
      <c r="E117" s="355"/>
      <c r="F117" s="355" t="s">
        <v>441</v>
      </c>
      <c r="G117" s="360" t="s">
        <v>362</v>
      </c>
      <c r="H117" s="360" t="s">
        <v>215</v>
      </c>
      <c r="I117" s="355" t="s">
        <v>2</v>
      </c>
      <c r="J117" s="60">
        <v>15801400</v>
      </c>
      <c r="K117" s="60">
        <v>15801400</v>
      </c>
      <c r="L117" s="366">
        <v>1E-4</v>
      </c>
      <c r="M117" s="60"/>
      <c r="N117" s="60">
        <v>3500</v>
      </c>
      <c r="O117" s="357">
        <f t="shared" si="6"/>
        <v>15801400</v>
      </c>
      <c r="P117" s="361" t="s">
        <v>216</v>
      </c>
      <c r="Q117" s="321"/>
      <c r="R117" s="15"/>
      <c r="S117" s="5"/>
    </row>
    <row r="118" spans="1:19" s="4" customFormat="1" ht="129.75" customHeight="1" outlineLevel="1" x14ac:dyDescent="0.25">
      <c r="A118" s="354">
        <v>75</v>
      </c>
      <c r="B118" s="361" t="s">
        <v>217</v>
      </c>
      <c r="C118" s="361" t="s">
        <v>202</v>
      </c>
      <c r="D118" s="355" t="s">
        <v>463</v>
      </c>
      <c r="E118" s="355"/>
      <c r="F118" s="355" t="s">
        <v>441</v>
      </c>
      <c r="G118" s="360" t="s">
        <v>362</v>
      </c>
      <c r="H118" s="360" t="s">
        <v>215</v>
      </c>
      <c r="I118" s="355" t="s">
        <v>2</v>
      </c>
      <c r="J118" s="60">
        <v>2554000</v>
      </c>
      <c r="K118" s="60">
        <v>2554000</v>
      </c>
      <c r="L118" s="366">
        <v>1E-4</v>
      </c>
      <c r="M118" s="60"/>
      <c r="N118" s="60">
        <f>500</f>
        <v>500</v>
      </c>
      <c r="O118" s="357">
        <f t="shared" si="6"/>
        <v>2554000</v>
      </c>
      <c r="P118" s="361" t="s">
        <v>218</v>
      </c>
      <c r="Q118" s="321"/>
      <c r="R118" s="15"/>
      <c r="S118" s="5"/>
    </row>
    <row r="119" spans="1:19" s="4" customFormat="1" ht="129.75" customHeight="1" outlineLevel="1" x14ac:dyDescent="0.25">
      <c r="A119" s="354">
        <v>76</v>
      </c>
      <c r="B119" s="361" t="s">
        <v>219</v>
      </c>
      <c r="C119" s="361" t="s">
        <v>202</v>
      </c>
      <c r="D119" s="355" t="s">
        <v>463</v>
      </c>
      <c r="E119" s="355"/>
      <c r="F119" s="355" t="s">
        <v>441</v>
      </c>
      <c r="G119" s="360" t="s">
        <v>362</v>
      </c>
      <c r="H119" s="360" t="s">
        <v>220</v>
      </c>
      <c r="I119" s="355" t="s">
        <v>2</v>
      </c>
      <c r="J119" s="60">
        <v>29053320</v>
      </c>
      <c r="K119" s="60">
        <v>29053320</v>
      </c>
      <c r="L119" s="366">
        <v>1E-4</v>
      </c>
      <c r="M119" s="60"/>
      <c r="N119" s="60">
        <f>2000+3000</f>
        <v>5000</v>
      </c>
      <c r="O119" s="357">
        <f t="shared" si="6"/>
        <v>29053320</v>
      </c>
      <c r="P119" s="361" t="s">
        <v>221</v>
      </c>
      <c r="Q119" s="321"/>
      <c r="R119" s="15"/>
      <c r="S119" s="5"/>
    </row>
    <row r="120" spans="1:19" s="4" customFormat="1" ht="129.75" customHeight="1" outlineLevel="1" x14ac:dyDescent="0.25">
      <c r="A120" s="354">
        <v>77</v>
      </c>
      <c r="B120" s="361" t="s">
        <v>222</v>
      </c>
      <c r="C120" s="361" t="s">
        <v>202</v>
      </c>
      <c r="D120" s="355" t="s">
        <v>463</v>
      </c>
      <c r="E120" s="355"/>
      <c r="F120" s="355" t="s">
        <v>441</v>
      </c>
      <c r="G120" s="360" t="s">
        <v>362</v>
      </c>
      <c r="H120" s="360" t="s">
        <v>223</v>
      </c>
      <c r="I120" s="355" t="s">
        <v>2</v>
      </c>
      <c r="J120" s="60">
        <v>192064443</v>
      </c>
      <c r="K120" s="60">
        <f>95000000+97064443</f>
        <v>192064443</v>
      </c>
      <c r="L120" s="366">
        <v>1E-4</v>
      </c>
      <c r="M120" s="60">
        <f>65000000+20000000+30000000+10000000+10000000</f>
        <v>135000000</v>
      </c>
      <c r="N120" s="60">
        <f>16100+12200+23933</f>
        <v>52233</v>
      </c>
      <c r="O120" s="357">
        <f t="shared" si="6"/>
        <v>57064443</v>
      </c>
      <c r="P120" s="361" t="s">
        <v>224</v>
      </c>
      <c r="Q120" s="321"/>
      <c r="R120" s="15"/>
      <c r="S120" s="5"/>
    </row>
    <row r="121" spans="1:19" s="4" customFormat="1" ht="129.75" customHeight="1" outlineLevel="1" x14ac:dyDescent="0.25">
      <c r="A121" s="354">
        <v>78</v>
      </c>
      <c r="B121" s="361" t="s">
        <v>226</v>
      </c>
      <c r="C121" s="361" t="s">
        <v>202</v>
      </c>
      <c r="D121" s="355" t="s">
        <v>463</v>
      </c>
      <c r="E121" s="355"/>
      <c r="F121" s="355" t="s">
        <v>441</v>
      </c>
      <c r="G121" s="360" t="s">
        <v>362</v>
      </c>
      <c r="H121" s="360" t="s">
        <v>225</v>
      </c>
      <c r="I121" s="355" t="s">
        <v>2</v>
      </c>
      <c r="J121" s="60">
        <v>3469534</v>
      </c>
      <c r="K121" s="60">
        <v>3469534</v>
      </c>
      <c r="L121" s="366">
        <v>1E-4</v>
      </c>
      <c r="M121" s="60">
        <v>266887</v>
      </c>
      <c r="N121" s="60">
        <f>600+86</f>
        <v>686</v>
      </c>
      <c r="O121" s="357">
        <f t="shared" si="6"/>
        <v>3202647</v>
      </c>
      <c r="P121" s="361" t="s">
        <v>227</v>
      </c>
      <c r="Q121" s="321"/>
      <c r="R121" s="15"/>
      <c r="S121" s="5"/>
    </row>
    <row r="122" spans="1:19" s="4" customFormat="1" ht="129.75" customHeight="1" outlineLevel="1" x14ac:dyDescent="0.25">
      <c r="A122" s="354">
        <v>79</v>
      </c>
      <c r="B122" s="361" t="s">
        <v>228</v>
      </c>
      <c r="C122" s="361" t="s">
        <v>202</v>
      </c>
      <c r="D122" s="355" t="s">
        <v>463</v>
      </c>
      <c r="E122" s="355"/>
      <c r="F122" s="355" t="s">
        <v>441</v>
      </c>
      <c r="G122" s="360" t="s">
        <v>362</v>
      </c>
      <c r="H122" s="360" t="s">
        <v>229</v>
      </c>
      <c r="I122" s="355" t="s">
        <v>2</v>
      </c>
      <c r="J122" s="60">
        <v>11781702</v>
      </c>
      <c r="K122" s="60">
        <v>11781702</v>
      </c>
      <c r="L122" s="366">
        <v>1E-4</v>
      </c>
      <c r="M122" s="60">
        <f>906285+906285+906285+906285+906285+906285+906285+906285</f>
        <v>7250280</v>
      </c>
      <c r="N122" s="60">
        <f>3000+1500+1500</f>
        <v>6000</v>
      </c>
      <c r="O122" s="357">
        <f t="shared" si="6"/>
        <v>4531422</v>
      </c>
      <c r="P122" s="361" t="s">
        <v>230</v>
      </c>
      <c r="Q122" s="321"/>
      <c r="R122" s="15"/>
      <c r="S122" s="5"/>
    </row>
    <row r="123" spans="1:19" s="4" customFormat="1" ht="129.75" customHeight="1" outlineLevel="1" x14ac:dyDescent="0.25">
      <c r="A123" s="354">
        <v>0</v>
      </c>
      <c r="B123" s="361" t="s">
        <v>231</v>
      </c>
      <c r="C123" s="361" t="s">
        <v>202</v>
      </c>
      <c r="D123" s="355" t="s">
        <v>463</v>
      </c>
      <c r="E123" s="355"/>
      <c r="F123" s="355" t="s">
        <v>441</v>
      </c>
      <c r="G123" s="360" t="s">
        <v>362</v>
      </c>
      <c r="H123" s="360" t="s">
        <v>232</v>
      </c>
      <c r="I123" s="355" t="s">
        <v>2</v>
      </c>
      <c r="J123" s="60">
        <f>112000000+16200000</f>
        <v>128200000</v>
      </c>
      <c r="K123" s="60">
        <f>112000000+16200000</f>
        <v>128200000</v>
      </c>
      <c r="L123" s="366">
        <v>1E-4</v>
      </c>
      <c r="M123" s="60">
        <f>3000000+3000000+4000000</f>
        <v>10000000</v>
      </c>
      <c r="N123" s="60">
        <f>25640+12820+12820+12820</f>
        <v>64100</v>
      </c>
      <c r="O123" s="357">
        <f t="shared" si="6"/>
        <v>118200000</v>
      </c>
      <c r="P123" s="361" t="s">
        <v>233</v>
      </c>
      <c r="Q123" s="321"/>
      <c r="R123" s="15"/>
      <c r="S123" s="5"/>
    </row>
    <row r="124" spans="1:19" s="4" customFormat="1" ht="129.75" customHeight="1" outlineLevel="1" x14ac:dyDescent="0.25">
      <c r="A124" s="354">
        <v>81</v>
      </c>
      <c r="B124" s="361" t="s">
        <v>234</v>
      </c>
      <c r="C124" s="361" t="s">
        <v>202</v>
      </c>
      <c r="D124" s="355" t="s">
        <v>463</v>
      </c>
      <c r="E124" s="355"/>
      <c r="F124" s="355" t="s">
        <v>441</v>
      </c>
      <c r="G124" s="360" t="s">
        <v>362</v>
      </c>
      <c r="H124" s="360" t="s">
        <v>235</v>
      </c>
      <c r="I124" s="355" t="s">
        <v>2</v>
      </c>
      <c r="J124" s="60">
        <v>26127500</v>
      </c>
      <c r="K124" s="60">
        <v>26127500</v>
      </c>
      <c r="L124" s="366">
        <v>1E-4</v>
      </c>
      <c r="M124" s="60"/>
      <c r="N124" s="60">
        <f>4530</f>
        <v>4530</v>
      </c>
      <c r="O124" s="357">
        <f t="shared" si="6"/>
        <v>26127500</v>
      </c>
      <c r="P124" s="361" t="s">
        <v>236</v>
      </c>
      <c r="Q124" s="321"/>
      <c r="R124" s="15"/>
      <c r="S124" s="5"/>
    </row>
    <row r="125" spans="1:19" s="4" customFormat="1" ht="129.75" customHeight="1" outlineLevel="1" x14ac:dyDescent="0.25">
      <c r="A125" s="354">
        <v>82</v>
      </c>
      <c r="B125" s="361" t="s">
        <v>237</v>
      </c>
      <c r="C125" s="361" t="s">
        <v>202</v>
      </c>
      <c r="D125" s="355" t="s">
        <v>463</v>
      </c>
      <c r="E125" s="355"/>
      <c r="F125" s="355" t="s">
        <v>441</v>
      </c>
      <c r="G125" s="360" t="s">
        <v>362</v>
      </c>
      <c r="H125" s="360" t="s">
        <v>238</v>
      </c>
      <c r="I125" s="355" t="s">
        <v>2</v>
      </c>
      <c r="J125" s="60">
        <v>19297200</v>
      </c>
      <c r="K125" s="60">
        <f>10800000+3440000+1440000+3617200</f>
        <v>19297200</v>
      </c>
      <c r="L125" s="366">
        <v>1E-4</v>
      </c>
      <c r="M125" s="60"/>
      <c r="N125" s="60">
        <f>3000</f>
        <v>3000</v>
      </c>
      <c r="O125" s="357">
        <f t="shared" si="6"/>
        <v>19297200</v>
      </c>
      <c r="P125" s="361" t="s">
        <v>239</v>
      </c>
      <c r="Q125" s="321"/>
      <c r="R125" s="15"/>
      <c r="S125" s="5"/>
    </row>
    <row r="126" spans="1:19" s="4" customFormat="1" ht="129.75" customHeight="1" outlineLevel="1" x14ac:dyDescent="0.25">
      <c r="A126" s="354">
        <v>83</v>
      </c>
      <c r="B126" s="361" t="s">
        <v>240</v>
      </c>
      <c r="C126" s="361" t="s">
        <v>202</v>
      </c>
      <c r="D126" s="355" t="s">
        <v>463</v>
      </c>
      <c r="E126" s="355"/>
      <c r="F126" s="355" t="s">
        <v>441</v>
      </c>
      <c r="G126" s="360" t="s">
        <v>362</v>
      </c>
      <c r="H126" s="360" t="s">
        <v>225</v>
      </c>
      <c r="I126" s="355" t="s">
        <v>2</v>
      </c>
      <c r="J126" s="60">
        <v>2164000</v>
      </c>
      <c r="K126" s="60">
        <v>2164000</v>
      </c>
      <c r="L126" s="366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357">
        <f>K126-N126</f>
        <v>2162875.2000000002</v>
      </c>
      <c r="P126" s="361" t="s">
        <v>241</v>
      </c>
      <c r="Q126" s="321"/>
      <c r="R126" s="15"/>
      <c r="S126" s="5"/>
    </row>
    <row r="127" spans="1:19" s="4" customFormat="1" ht="129.75" customHeight="1" outlineLevel="1" x14ac:dyDescent="0.25">
      <c r="A127" s="354">
        <v>84</v>
      </c>
      <c r="B127" s="361" t="s">
        <v>242</v>
      </c>
      <c r="C127" s="361" t="s">
        <v>202</v>
      </c>
      <c r="D127" s="355" t="s">
        <v>463</v>
      </c>
      <c r="E127" s="355"/>
      <c r="F127" s="355" t="s">
        <v>441</v>
      </c>
      <c r="G127" s="360" t="s">
        <v>362</v>
      </c>
      <c r="H127" s="360" t="s">
        <v>243</v>
      </c>
      <c r="I127" s="355" t="s">
        <v>2</v>
      </c>
      <c r="J127" s="60">
        <v>253504102</v>
      </c>
      <c r="K127" s="60">
        <v>253504102</v>
      </c>
      <c r="L127" s="366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357">
        <f t="shared" ref="O127:O133" si="7">K127-M127</f>
        <v>97501578</v>
      </c>
      <c r="P127" s="361" t="s">
        <v>244</v>
      </c>
      <c r="Q127" s="321"/>
      <c r="R127" s="15"/>
      <c r="S127" s="5"/>
    </row>
    <row r="128" spans="1:19" s="4" customFormat="1" ht="129.75" customHeight="1" outlineLevel="1" x14ac:dyDescent="0.25">
      <c r="A128" s="354">
        <v>85</v>
      </c>
      <c r="B128" s="361" t="s">
        <v>245</v>
      </c>
      <c r="C128" s="361" t="s">
        <v>202</v>
      </c>
      <c r="D128" s="355" t="s">
        <v>463</v>
      </c>
      <c r="E128" s="355"/>
      <c r="F128" s="355" t="s">
        <v>441</v>
      </c>
      <c r="G128" s="360" t="s">
        <v>362</v>
      </c>
      <c r="H128" s="360" t="s">
        <v>243</v>
      </c>
      <c r="I128" s="355" t="s">
        <v>2</v>
      </c>
      <c r="J128" s="60">
        <v>76200000</v>
      </c>
      <c r="K128" s="60">
        <v>76200000</v>
      </c>
      <c r="L128" s="366">
        <v>1E-4</v>
      </c>
      <c r="M128" s="60"/>
      <c r="N128" s="60">
        <f>7620+5520</f>
        <v>13140</v>
      </c>
      <c r="O128" s="357">
        <f t="shared" si="7"/>
        <v>76200000</v>
      </c>
      <c r="P128" s="361" t="s">
        <v>246</v>
      </c>
      <c r="Q128" s="321"/>
      <c r="R128" s="15"/>
      <c r="S128" s="5"/>
    </row>
    <row r="129" spans="1:19" s="4" customFormat="1" ht="81" outlineLevel="1" x14ac:dyDescent="0.25">
      <c r="A129" s="354">
        <v>86</v>
      </c>
      <c r="B129" s="361" t="s">
        <v>247</v>
      </c>
      <c r="C129" s="361" t="s">
        <v>202</v>
      </c>
      <c r="D129" s="355" t="s">
        <v>463</v>
      </c>
      <c r="E129" s="355"/>
      <c r="F129" s="355" t="s">
        <v>441</v>
      </c>
      <c r="G129" s="360" t="s">
        <v>362</v>
      </c>
      <c r="H129" s="360" t="s">
        <v>248</v>
      </c>
      <c r="I129" s="355" t="s">
        <v>2</v>
      </c>
      <c r="J129" s="60">
        <v>50613970</v>
      </c>
      <c r="K129" s="60">
        <v>50613970</v>
      </c>
      <c r="L129" s="366">
        <v>1E-4</v>
      </c>
      <c r="M129" s="60"/>
      <c r="N129" s="60">
        <f>8800+8800</f>
        <v>17600</v>
      </c>
      <c r="O129" s="357">
        <f t="shared" si="7"/>
        <v>50613970</v>
      </c>
      <c r="P129" s="361" t="s">
        <v>249</v>
      </c>
      <c r="Q129" s="321"/>
      <c r="R129" s="15"/>
      <c r="S129" s="5"/>
    </row>
    <row r="130" spans="1:19" s="4" customFormat="1" ht="81" outlineLevel="1" x14ac:dyDescent="0.25">
      <c r="A130" s="354">
        <v>87</v>
      </c>
      <c r="B130" s="361" t="s">
        <v>250</v>
      </c>
      <c r="C130" s="361" t="s">
        <v>202</v>
      </c>
      <c r="D130" s="355" t="s">
        <v>463</v>
      </c>
      <c r="E130" s="355"/>
      <c r="F130" s="355" t="s">
        <v>441</v>
      </c>
      <c r="G130" s="360" t="s">
        <v>362</v>
      </c>
      <c r="H130" s="360" t="s">
        <v>251</v>
      </c>
      <c r="I130" s="355" t="s">
        <v>2</v>
      </c>
      <c r="J130" s="60">
        <v>184740000</v>
      </c>
      <c r="K130" s="60">
        <v>184740000</v>
      </c>
      <c r="L130" s="366">
        <v>1E-4</v>
      </c>
      <c r="M130" s="60"/>
      <c r="N130" s="60">
        <f>31700</f>
        <v>31700</v>
      </c>
      <c r="O130" s="357">
        <f t="shared" si="7"/>
        <v>184740000</v>
      </c>
      <c r="P130" s="361" t="s">
        <v>252</v>
      </c>
      <c r="Q130" s="321"/>
      <c r="R130" s="15"/>
      <c r="S130" s="5"/>
    </row>
    <row r="131" spans="1:19" s="4" customFormat="1" ht="81" outlineLevel="1" x14ac:dyDescent="0.25">
      <c r="A131" s="354">
        <v>88</v>
      </c>
      <c r="B131" s="361" t="s">
        <v>253</v>
      </c>
      <c r="C131" s="361" t="s">
        <v>202</v>
      </c>
      <c r="D131" s="355" t="s">
        <v>463</v>
      </c>
      <c r="E131" s="355"/>
      <c r="F131" s="355" t="s">
        <v>441</v>
      </c>
      <c r="G131" s="360" t="s">
        <v>362</v>
      </c>
      <c r="H131" s="360" t="s">
        <v>254</v>
      </c>
      <c r="I131" s="355" t="s">
        <v>2</v>
      </c>
      <c r="J131" s="60">
        <v>219559596</v>
      </c>
      <c r="K131" s="60">
        <v>219559596</v>
      </c>
      <c r="L131" s="366">
        <v>1E-4</v>
      </c>
      <c r="M131" s="60">
        <f>16889200+16889200+185781196</f>
        <v>219559596</v>
      </c>
      <c r="N131" s="60">
        <f>5294+5294+27550+5533+1000</f>
        <v>44671</v>
      </c>
      <c r="O131" s="357">
        <f t="shared" si="7"/>
        <v>0</v>
      </c>
      <c r="P131" s="361" t="s">
        <v>438</v>
      </c>
      <c r="Q131" s="321"/>
      <c r="R131" s="15"/>
      <c r="S131" s="5"/>
    </row>
    <row r="132" spans="1:19" s="4" customFormat="1" ht="81" outlineLevel="1" x14ac:dyDescent="0.25">
      <c r="A132" s="354">
        <v>89</v>
      </c>
      <c r="B132" s="361" t="s">
        <v>255</v>
      </c>
      <c r="C132" s="361" t="s">
        <v>202</v>
      </c>
      <c r="D132" s="355" t="s">
        <v>463</v>
      </c>
      <c r="E132" s="355"/>
      <c r="F132" s="355" t="s">
        <v>441</v>
      </c>
      <c r="G132" s="360" t="s">
        <v>362</v>
      </c>
      <c r="H132" s="360" t="s">
        <v>251</v>
      </c>
      <c r="I132" s="355" t="s">
        <v>2</v>
      </c>
      <c r="J132" s="60">
        <v>29081500</v>
      </c>
      <c r="K132" s="60">
        <v>29081500</v>
      </c>
      <c r="L132" s="366">
        <v>1E-4</v>
      </c>
      <c r="M132" s="60"/>
      <c r="N132" s="60">
        <f>1000+4000+3000+1000+1000</f>
        <v>10000</v>
      </c>
      <c r="O132" s="357">
        <f t="shared" si="7"/>
        <v>29081500</v>
      </c>
      <c r="P132" s="361" t="s">
        <v>256</v>
      </c>
      <c r="Q132" s="321"/>
      <c r="R132" s="15"/>
      <c r="S132" s="5"/>
    </row>
    <row r="133" spans="1:19" s="4" customFormat="1" ht="123" customHeight="1" outlineLevel="1" x14ac:dyDescent="0.25">
      <c r="A133" s="354">
        <v>90</v>
      </c>
      <c r="B133" s="361" t="s">
        <v>257</v>
      </c>
      <c r="C133" s="361" t="s">
        <v>202</v>
      </c>
      <c r="D133" s="355" t="s">
        <v>463</v>
      </c>
      <c r="E133" s="355"/>
      <c r="F133" s="355" t="s">
        <v>441</v>
      </c>
      <c r="G133" s="360" t="s">
        <v>362</v>
      </c>
      <c r="H133" s="360" t="s">
        <v>258</v>
      </c>
      <c r="I133" s="355" t="s">
        <v>2</v>
      </c>
      <c r="J133" s="60">
        <v>12060940</v>
      </c>
      <c r="K133" s="60">
        <v>12060940</v>
      </c>
      <c r="L133" s="366">
        <v>1E-4</v>
      </c>
      <c r="M133" s="60"/>
      <c r="N133" s="60">
        <v>2170</v>
      </c>
      <c r="O133" s="357">
        <f t="shared" si="7"/>
        <v>12060940</v>
      </c>
      <c r="P133" s="361" t="s">
        <v>259</v>
      </c>
      <c r="Q133" s="321"/>
      <c r="R133" s="15"/>
      <c r="S133" s="5"/>
    </row>
    <row r="134" spans="1:19" s="9" customFormat="1" ht="23.25" customHeight="1" x14ac:dyDescent="0.25">
      <c r="A134" s="485" t="s">
        <v>437</v>
      </c>
      <c r="B134" s="486"/>
      <c r="C134" s="486"/>
      <c r="D134" s="41"/>
      <c r="E134" s="355"/>
      <c r="F134" s="54"/>
      <c r="G134" s="422"/>
      <c r="H134" s="54"/>
      <c r="I134" s="54" t="s">
        <v>29</v>
      </c>
      <c r="J134" s="11">
        <f>SUMIF($I$113:$I$133,I134,$J$113:$J$133)</f>
        <v>0</v>
      </c>
      <c r="K134" s="11">
        <f>SUMIF($I$103:$I$133,I134,$K$103:$K$133)</f>
        <v>0</v>
      </c>
      <c r="L134" s="11"/>
      <c r="M134" s="11">
        <f>SUMIF($I$113:$I$133,I134,$M$113:$M$133)</f>
        <v>0</v>
      </c>
      <c r="N134" s="11">
        <f>SUMIF($I$103:$I$133,I134,$N$103:$N$133)</f>
        <v>0</v>
      </c>
      <c r="O134" s="11">
        <f>SUMIF($I$103:$I$133,I134,$O$103:$O$133)</f>
        <v>0</v>
      </c>
      <c r="P134" s="11"/>
      <c r="Q134" s="318"/>
      <c r="R134" s="8"/>
      <c r="S134" s="5"/>
    </row>
    <row r="135" spans="1:19" s="9" customFormat="1" ht="23.25" customHeight="1" x14ac:dyDescent="0.25">
      <c r="A135" s="485"/>
      <c r="B135" s="486"/>
      <c r="C135" s="486"/>
      <c r="D135" s="41"/>
      <c r="E135" s="355"/>
      <c r="F135" s="54"/>
      <c r="G135" s="422"/>
      <c r="H135" s="54"/>
      <c r="I135" s="54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703615324.20000005</v>
      </c>
      <c r="N135" s="11">
        <f>SUMIF($I$113:$I$133,I135,$N$113:$N$133)</f>
        <v>542405.19999999995</v>
      </c>
      <c r="O135" s="11">
        <f>SUMIF($I$113:$I$133,I135,$O$113:$O$133)</f>
        <v>1309177384</v>
      </c>
      <c r="P135" s="11"/>
      <c r="Q135" s="318"/>
      <c r="R135" s="8"/>
      <c r="S135" s="5"/>
    </row>
    <row r="136" spans="1:19" s="9" customFormat="1" ht="23.25" customHeight="1" x14ac:dyDescent="0.25">
      <c r="A136" s="485"/>
      <c r="B136" s="486"/>
      <c r="C136" s="486"/>
      <c r="D136" s="41"/>
      <c r="E136" s="355"/>
      <c r="F136" s="54"/>
      <c r="G136" s="422"/>
      <c r="H136" s="54"/>
      <c r="I136" s="54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1"/>
      <c r="Q136" s="318"/>
      <c r="R136" s="8"/>
      <c r="S136" s="5"/>
    </row>
    <row r="137" spans="1:19" s="9" customFormat="1" ht="23.25" customHeight="1" x14ac:dyDescent="0.25">
      <c r="A137" s="485"/>
      <c r="B137" s="486"/>
      <c r="C137" s="486"/>
      <c r="D137" s="41"/>
      <c r="E137" s="355"/>
      <c r="F137" s="54"/>
      <c r="G137" s="422"/>
      <c r="H137" s="54"/>
      <c r="I137" s="54" t="s">
        <v>71</v>
      </c>
      <c r="J137" s="11">
        <f>SUMIF($I$113:$I$133,I137,$J$113:$J$133)</f>
        <v>0</v>
      </c>
      <c r="K137" s="11">
        <f>SUMIF($I$103:$I$133,I137,$K$103:$K$133)</f>
        <v>0</v>
      </c>
      <c r="L137" s="11"/>
      <c r="M137" s="11">
        <f>SUMIF($I$103:$I$133,I137,$M$103:$M$133)</f>
        <v>0</v>
      </c>
      <c r="N137" s="11">
        <f>SUMIF($I$103:$I$133,I137,$N$103:$N$133)</f>
        <v>0</v>
      </c>
      <c r="O137" s="11">
        <f>SUMIF($I$103:$I$133,I137,$O$103:$O$133)</f>
        <v>0</v>
      </c>
      <c r="P137" s="11"/>
      <c r="Q137" s="318"/>
      <c r="R137" s="8"/>
      <c r="S137" s="5"/>
    </row>
    <row r="138" spans="1:19" s="9" customFormat="1" ht="15.75" customHeight="1" x14ac:dyDescent="0.25">
      <c r="A138" s="485" t="s">
        <v>260</v>
      </c>
      <c r="B138" s="486"/>
      <c r="C138" s="486"/>
      <c r="D138" s="41"/>
      <c r="E138" s="355"/>
      <c r="F138" s="54"/>
      <c r="G138" s="422"/>
      <c r="H138" s="54"/>
      <c r="I138" s="54" t="s">
        <v>29</v>
      </c>
      <c r="J138" s="11">
        <f t="shared" ref="J138:O141" si="8">J46+J57+J68+J99+J109+J134</f>
        <v>340755742.28000003</v>
      </c>
      <c r="K138" s="11">
        <f t="shared" si="8"/>
        <v>141932627.11000001</v>
      </c>
      <c r="L138" s="11">
        <f t="shared" si="8"/>
        <v>0</v>
      </c>
      <c r="M138" s="11">
        <f t="shared" si="8"/>
        <v>54333502.78982874</v>
      </c>
      <c r="N138" s="11">
        <f t="shared" si="8"/>
        <v>20831094.674242474</v>
      </c>
      <c r="O138" s="11">
        <f t="shared" si="8"/>
        <v>88360692.750171259</v>
      </c>
      <c r="P138" s="11"/>
      <c r="Q138" s="318"/>
      <c r="R138" s="8"/>
      <c r="S138" s="5"/>
    </row>
    <row r="139" spans="1:19" s="9" customFormat="1" ht="17.25" customHeight="1" x14ac:dyDescent="0.25">
      <c r="A139" s="485"/>
      <c r="B139" s="486"/>
      <c r="C139" s="486"/>
      <c r="D139" s="41"/>
      <c r="E139" s="355"/>
      <c r="F139" s="54"/>
      <c r="G139" s="422"/>
      <c r="H139" s="54"/>
      <c r="I139" s="54" t="s">
        <v>2</v>
      </c>
      <c r="J139" s="11">
        <f t="shared" si="8"/>
        <v>175900663940.10001</v>
      </c>
      <c r="K139" s="11">
        <f t="shared" si="8"/>
        <v>195360127444.51001</v>
      </c>
      <c r="L139" s="11">
        <f t="shared" si="8"/>
        <v>0</v>
      </c>
      <c r="M139" s="11">
        <f t="shared" si="8"/>
        <v>96789711447.344711</v>
      </c>
      <c r="N139" s="11">
        <f t="shared" si="8"/>
        <v>49754754295.969482</v>
      </c>
      <c r="O139" s="11">
        <f t="shared" si="8"/>
        <v>98571745719.36528</v>
      </c>
      <c r="P139" s="11"/>
      <c r="Q139" s="318"/>
      <c r="R139" s="8"/>
      <c r="S139" s="5"/>
    </row>
    <row r="140" spans="1:19" s="9" customFormat="1" ht="15" customHeight="1" x14ac:dyDescent="0.25">
      <c r="A140" s="485"/>
      <c r="B140" s="486"/>
      <c r="C140" s="486"/>
      <c r="D140" s="41"/>
      <c r="E140" s="355"/>
      <c r="F140" s="54"/>
      <c r="G140" s="422"/>
      <c r="H140" s="54"/>
      <c r="I140" s="54" t="s">
        <v>51</v>
      </c>
      <c r="J140" s="11">
        <f t="shared" si="8"/>
        <v>481140620.32000005</v>
      </c>
      <c r="K140" s="11">
        <f t="shared" si="8"/>
        <v>360813919.96000004</v>
      </c>
      <c r="L140" s="11">
        <f t="shared" si="8"/>
        <v>0</v>
      </c>
      <c r="M140" s="11">
        <f t="shared" si="8"/>
        <v>126003653.23868704</v>
      </c>
      <c r="N140" s="11">
        <f t="shared" si="8"/>
        <v>68379016.601498589</v>
      </c>
      <c r="O140" s="11">
        <f t="shared" si="8"/>
        <v>234810266.721313</v>
      </c>
      <c r="P140" s="11"/>
      <c r="Q140" s="318"/>
      <c r="R140" s="8"/>
      <c r="S140" s="5"/>
    </row>
    <row r="141" spans="1:19" s="9" customFormat="1" ht="25.5" customHeight="1" x14ac:dyDescent="0.25">
      <c r="A141" s="485"/>
      <c r="B141" s="486"/>
      <c r="C141" s="486"/>
      <c r="D141" s="41"/>
      <c r="E141" s="355"/>
      <c r="F141" s="54"/>
      <c r="G141" s="422"/>
      <c r="H141" s="54"/>
      <c r="I141" s="54" t="s">
        <v>71</v>
      </c>
      <c r="J141" s="11">
        <f t="shared" si="8"/>
        <v>31777311969</v>
      </c>
      <c r="K141" s="11">
        <f t="shared" si="8"/>
        <v>31859249643</v>
      </c>
      <c r="L141" s="11">
        <f t="shared" si="8"/>
        <v>0</v>
      </c>
      <c r="M141" s="11">
        <f t="shared" si="8"/>
        <v>12178517548.709158</v>
      </c>
      <c r="N141" s="11">
        <f t="shared" si="8"/>
        <v>3571514171.4328051</v>
      </c>
      <c r="O141" s="11">
        <f t="shared" si="8"/>
        <v>19680732094.29084</v>
      </c>
      <c r="P141" s="11"/>
      <c r="Q141" s="318"/>
      <c r="R141" s="8"/>
      <c r="S141" s="5"/>
    </row>
    <row r="142" spans="1:19" s="9" customFormat="1" ht="15" customHeight="1" x14ac:dyDescent="0.25">
      <c r="A142" s="485"/>
      <c r="B142" s="486"/>
      <c r="C142" s="486"/>
      <c r="D142" s="41"/>
      <c r="E142" s="355"/>
      <c r="F142" s="54"/>
      <c r="G142" s="422"/>
      <c r="H142" s="54"/>
      <c r="I142" s="54" t="s">
        <v>61</v>
      </c>
      <c r="J142" s="11">
        <f t="shared" ref="J142:O142" si="9">J50</f>
        <v>24086688</v>
      </c>
      <c r="K142" s="11">
        <f t="shared" si="9"/>
        <v>18384172.012149811</v>
      </c>
      <c r="L142" s="11">
        <f t="shared" si="9"/>
        <v>0</v>
      </c>
      <c r="M142" s="11">
        <f t="shared" si="9"/>
        <v>4356879.5040346272</v>
      </c>
      <c r="N142" s="11">
        <f t="shared" si="9"/>
        <v>2915190.8613051148</v>
      </c>
      <c r="O142" s="11">
        <f t="shared" si="9"/>
        <v>14027292.508115182</v>
      </c>
      <c r="P142" s="11"/>
      <c r="Q142" s="318"/>
      <c r="R142" s="8"/>
      <c r="S142" s="5"/>
    </row>
    <row r="143" spans="1:19" ht="51" customHeight="1" thickBot="1" x14ac:dyDescent="0.3">
      <c r="A143" s="71">
        <v>95</v>
      </c>
      <c r="B143" s="208" t="s">
        <v>261</v>
      </c>
      <c r="C143" s="194" t="s">
        <v>262</v>
      </c>
      <c r="D143" s="194" t="s">
        <v>463</v>
      </c>
      <c r="E143" s="194"/>
      <c r="F143" s="194" t="s">
        <v>441</v>
      </c>
      <c r="G143" s="194" t="s">
        <v>363</v>
      </c>
      <c r="H143" s="194" t="s">
        <v>263</v>
      </c>
      <c r="I143" s="194" t="s">
        <v>2</v>
      </c>
      <c r="J143" s="75">
        <f>834800635300+144000000000+32000000000+132000000000+3500000000+14000000000+2900000000+4000000000</f>
        <v>1167200635300</v>
      </c>
      <c r="K143" s="76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418">
        <v>1E-4</v>
      </c>
      <c r="M143" s="76"/>
      <c r="N143" s="76"/>
      <c r="O143" s="307">
        <f>K143-M143</f>
        <v>1161789822801.3999</v>
      </c>
      <c r="P143" s="194" t="s">
        <v>76</v>
      </c>
      <c r="Q143" s="419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388.38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2.5099999999999998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420.73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514.92999999999995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420"/>
      <c r="F158" s="6"/>
      <c r="G158" s="423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A103:J108 A72:Q72 K103:Q108" name="Nona"/>
    <protectedRange algorithmName="SHA-512" hashValue="vw/tfZfxCvSE0U6Hm2G3C/Aj3bUp3KdD+IHhHinfC+crRPhv3Uapv1zQ/dMQFE5wwqt30lhFdhsH6enTApEPhg==" saltValue="AJSG7Dc7ySbRZF9wPd6fsA==" spinCount="100000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73:J76 A64:Q67 K73:Q76 K79:O90" name="Maria"/>
  </protectedRanges>
  <mergeCells count="115">
    <mergeCell ref="G11:G12"/>
    <mergeCell ref="H11:H12"/>
    <mergeCell ref="P11:P12"/>
    <mergeCell ref="A13:A14"/>
    <mergeCell ref="C13:C14"/>
    <mergeCell ref="G13:G14"/>
    <mergeCell ref="H13:H14"/>
    <mergeCell ref="P13:P14"/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E31:E32"/>
    <mergeCell ref="C27:C28"/>
    <mergeCell ref="D27:D28"/>
    <mergeCell ref="C29:C30"/>
    <mergeCell ref="D29:D30"/>
    <mergeCell ref="A31:A32"/>
    <mergeCell ref="C31:C32"/>
    <mergeCell ref="D31:D32"/>
    <mergeCell ref="P52:P53"/>
    <mergeCell ref="A55:A56"/>
    <mergeCell ref="C55:C56"/>
    <mergeCell ref="P55:P56"/>
    <mergeCell ref="E44:E45"/>
    <mergeCell ref="P34:P36"/>
    <mergeCell ref="A42:A43"/>
    <mergeCell ref="C42:C43"/>
    <mergeCell ref="G42:G43"/>
    <mergeCell ref="H42:H43"/>
    <mergeCell ref="P42:P43"/>
    <mergeCell ref="E34:E36"/>
    <mergeCell ref="E42:E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  <mergeCell ref="A134:C137"/>
    <mergeCell ref="A138:C142"/>
    <mergeCell ref="E9:E10"/>
    <mergeCell ref="E11:E12"/>
    <mergeCell ref="E13:E14"/>
    <mergeCell ref="E15:E16"/>
    <mergeCell ref="E17:E18"/>
    <mergeCell ref="E23:E26"/>
    <mergeCell ref="E27:E28"/>
    <mergeCell ref="E29:E30"/>
    <mergeCell ref="D44:D45"/>
    <mergeCell ref="A46:C50"/>
    <mergeCell ref="A25:A26"/>
    <mergeCell ref="A17:A18"/>
    <mergeCell ref="C17:C18"/>
    <mergeCell ref="D17:D18"/>
    <mergeCell ref="A11:A12"/>
    <mergeCell ref="C11:C12"/>
  </mergeCells>
  <conditionalFormatting sqref="K5">
    <cfRule type="cellIs" dxfId="16" priority="5" operator="notEqual">
      <formula>#REF!</formula>
    </cfRule>
  </conditionalFormatting>
  <conditionalFormatting sqref="K93 K6:K33 K35:K44">
    <cfRule type="cellIs" dxfId="15" priority="4" operator="notEqual">
      <formula>#REF!</formula>
    </cfRule>
  </conditionalFormatting>
  <conditionalFormatting sqref="J21">
    <cfRule type="cellIs" dxfId="14" priority="3" operator="notEqual">
      <formula>#REF!</formula>
    </cfRule>
  </conditionalFormatting>
  <conditionalFormatting sqref="K45">
    <cfRule type="cellIs" dxfId="13" priority="2" operator="notEqual">
      <formula>#REF!</formula>
    </cfRule>
  </conditionalFormatting>
  <conditionalFormatting sqref="K78">
    <cfRule type="cellIs" dxfId="12" priority="1" operator="not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139" workbookViewId="0">
      <selection activeCell="F146" sqref="F14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369"/>
    </row>
    <row r="2" spans="1:19" ht="38.25" customHeight="1" x14ac:dyDescent="0.4">
      <c r="A2" s="570" t="s">
        <v>533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370"/>
    </row>
    <row r="3" spans="1:19" ht="33.75" customHeight="1" thickBot="1" x14ac:dyDescent="0.3">
      <c r="A3" s="18"/>
      <c r="C3" s="18"/>
      <c r="D3" s="18"/>
      <c r="E3" s="18"/>
      <c r="F3" s="18"/>
      <c r="G3" s="299"/>
      <c r="H3" s="18"/>
      <c r="I3" s="18"/>
      <c r="J3" s="18"/>
      <c r="K3" s="18"/>
      <c r="L3" s="300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504</v>
      </c>
      <c r="F4" s="24" t="s">
        <v>495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1" t="s">
        <v>496</v>
      </c>
      <c r="R4" s="1"/>
      <c r="S4" s="98"/>
    </row>
    <row r="5" spans="1:19" ht="75" customHeight="1" outlineLevel="1" x14ac:dyDescent="0.25">
      <c r="A5" s="525">
        <v>1</v>
      </c>
      <c r="B5" s="373" t="s">
        <v>25</v>
      </c>
      <c r="C5" s="28" t="s">
        <v>26</v>
      </c>
      <c r="D5" s="374" t="s">
        <v>27</v>
      </c>
      <c r="E5" s="606" t="s">
        <v>505</v>
      </c>
      <c r="F5" s="374" t="s">
        <v>497</v>
      </c>
      <c r="G5" s="606" t="s">
        <v>299</v>
      </c>
      <c r="H5" s="374" t="s">
        <v>28</v>
      </c>
      <c r="I5" s="31" t="s">
        <v>29</v>
      </c>
      <c r="J5" s="402">
        <v>7300000</v>
      </c>
      <c r="K5" s="412">
        <f>5822389.5+13412.1+4470.7+716451.75+24588.85+716451.75+2235.35</f>
        <v>7299999.9999999991</v>
      </c>
      <c r="L5" s="30" t="s">
        <v>30</v>
      </c>
      <c r="M5" s="412">
        <f>595000+119000+119000+119000+119000+119000+119000</f>
        <v>1309000</v>
      </c>
      <c r="N5" s="412">
        <f>652083.5+22907.49</f>
        <v>674990.99</v>
      </c>
      <c r="O5" s="402">
        <f t="shared" ref="O5:O33" si="0">K5-M5</f>
        <v>5990999.9999999991</v>
      </c>
      <c r="P5" s="428" t="s">
        <v>506</v>
      </c>
      <c r="Q5" s="379" t="s">
        <v>498</v>
      </c>
      <c r="S5" s="5"/>
    </row>
    <row r="6" spans="1:19" ht="75.75" customHeight="1" outlineLevel="1" x14ac:dyDescent="0.25">
      <c r="A6" s="533"/>
      <c r="B6" s="399" t="s">
        <v>25</v>
      </c>
      <c r="C6" s="33" t="s">
        <v>32</v>
      </c>
      <c r="D6" s="374" t="s">
        <v>27</v>
      </c>
      <c r="E6" s="606"/>
      <c r="F6" s="375" t="s">
        <v>497</v>
      </c>
      <c r="G6" s="606"/>
      <c r="H6" s="375" t="s">
        <v>33</v>
      </c>
      <c r="I6" s="405" t="s">
        <v>29</v>
      </c>
      <c r="J6" s="412">
        <v>7300000</v>
      </c>
      <c r="K6" s="412">
        <v>7299999.9999999981</v>
      </c>
      <c r="L6" s="387" t="s">
        <v>34</v>
      </c>
      <c r="M6" s="412">
        <f>5474999.9+304166.7+304166.7+304166.7+304166.7+304166.7+304167</f>
        <v>7300000.4000000013</v>
      </c>
      <c r="N6" s="412">
        <f>1226756+8356.16+4154.77</f>
        <v>1239266.93</v>
      </c>
      <c r="O6" s="412">
        <f t="shared" si="0"/>
        <v>-0.40000000316649675</v>
      </c>
      <c r="P6" s="428" t="s">
        <v>35</v>
      </c>
      <c r="Q6" s="140" t="s">
        <v>498</v>
      </c>
      <c r="S6" s="5"/>
    </row>
    <row r="7" spans="1:19" ht="79.5" customHeight="1" outlineLevel="1" x14ac:dyDescent="0.25">
      <c r="A7" s="372">
        <v>2</v>
      </c>
      <c r="B7" s="399" t="s">
        <v>25</v>
      </c>
      <c r="C7" s="399" t="s">
        <v>36</v>
      </c>
      <c r="D7" s="375" t="s">
        <v>27</v>
      </c>
      <c r="E7" s="427" t="s">
        <v>507</v>
      </c>
      <c r="F7" s="375" t="s">
        <v>497</v>
      </c>
      <c r="G7" s="429" t="s">
        <v>300</v>
      </c>
      <c r="H7" s="375" t="s">
        <v>37</v>
      </c>
      <c r="I7" s="405" t="s">
        <v>29</v>
      </c>
      <c r="J7" s="412">
        <v>14060526.73</v>
      </c>
      <c r="K7" s="412">
        <v>14060526.73</v>
      </c>
      <c r="L7" s="411">
        <v>7.4999999999999997E-3</v>
      </c>
      <c r="M7" s="412">
        <f>5858552.73979552+234342.1+234342.1+98055764.9/418.43+98932204.4/422.17+104987604.2/448.01+97345708.3/415.4</f>
        <v>7264605.3397470377</v>
      </c>
      <c r="N7" s="412">
        <f>1294472.69934396+40254.3+39195.3+16095956/418.43+15796672.6/422.17+16433280.1/448.01+14866002.9/415.4</f>
        <v>1522275.409301799</v>
      </c>
      <c r="O7" s="412">
        <f t="shared" si="0"/>
        <v>6795921.3902529627</v>
      </c>
      <c r="P7" s="428" t="s">
        <v>31</v>
      </c>
      <c r="Q7" s="140" t="s">
        <v>498</v>
      </c>
      <c r="S7" s="5"/>
    </row>
    <row r="8" spans="1:19" ht="78.75" customHeight="1" outlineLevel="1" x14ac:dyDescent="0.25">
      <c r="A8" s="372">
        <v>3</v>
      </c>
      <c r="B8" s="399" t="s">
        <v>25</v>
      </c>
      <c r="C8" s="399" t="s">
        <v>38</v>
      </c>
      <c r="D8" s="375" t="s">
        <v>27</v>
      </c>
      <c r="E8" s="427" t="s">
        <v>513</v>
      </c>
      <c r="F8" s="375" t="s">
        <v>497</v>
      </c>
      <c r="G8" s="377" t="s">
        <v>301</v>
      </c>
      <c r="H8" s="375" t="s">
        <v>39</v>
      </c>
      <c r="I8" s="405" t="s">
        <v>29</v>
      </c>
      <c r="J8" s="412">
        <v>75000000</v>
      </c>
      <c r="K8" s="412"/>
      <c r="L8" s="411" t="s">
        <v>40</v>
      </c>
      <c r="M8" s="412"/>
      <c r="N8" s="412">
        <f>1932812.5+93750+93750+93750+93750+42000937.5/448.01+38943750/415.4</f>
        <v>2495312.5</v>
      </c>
      <c r="O8" s="412">
        <f t="shared" si="0"/>
        <v>0</v>
      </c>
      <c r="P8" s="140" t="s">
        <v>35</v>
      </c>
      <c r="Q8" s="140" t="s">
        <v>498</v>
      </c>
      <c r="S8" s="5"/>
    </row>
    <row r="9" spans="1:19" ht="81.75" customHeight="1" outlineLevel="1" x14ac:dyDescent="0.25">
      <c r="A9" s="532">
        <v>4</v>
      </c>
      <c r="B9" s="381" t="s">
        <v>25</v>
      </c>
      <c r="C9" s="521" t="s">
        <v>38</v>
      </c>
      <c r="D9" s="375" t="s">
        <v>27</v>
      </c>
      <c r="E9" s="607" t="s">
        <v>513</v>
      </c>
      <c r="F9" s="383" t="s">
        <v>497</v>
      </c>
      <c r="G9" s="541" t="s">
        <v>301</v>
      </c>
      <c r="H9" s="531" t="s">
        <v>41</v>
      </c>
      <c r="I9" s="405" t="s">
        <v>29</v>
      </c>
      <c r="J9" s="412">
        <v>10200000</v>
      </c>
      <c r="K9" s="412">
        <f>1075381.69+59500</f>
        <v>1134881.69</v>
      </c>
      <c r="L9" s="384" t="s">
        <v>30</v>
      </c>
      <c r="M9" s="412">
        <v>0</v>
      </c>
      <c r="N9" s="412">
        <f>200690.672577969+15587.2+6522152.1/418.43+6580448.3/422.17+6983221.5/448.01+6474922.9/415.4</f>
        <v>278626.67287819582</v>
      </c>
      <c r="O9" s="412">
        <f>K9-M9</f>
        <v>1134881.69</v>
      </c>
      <c r="P9" s="521" t="s">
        <v>35</v>
      </c>
      <c r="Q9" s="378" t="s">
        <v>498</v>
      </c>
      <c r="S9" s="5"/>
    </row>
    <row r="10" spans="1:19" ht="76.5" customHeight="1" outlineLevel="1" x14ac:dyDescent="0.25">
      <c r="A10" s="533"/>
      <c r="B10" s="381" t="s">
        <v>25</v>
      </c>
      <c r="C10" s="528"/>
      <c r="D10" s="375" t="s">
        <v>463</v>
      </c>
      <c r="E10" s="608"/>
      <c r="F10" s="374" t="s">
        <v>499</v>
      </c>
      <c r="G10" s="542"/>
      <c r="H10" s="530"/>
      <c r="I10" s="405" t="s">
        <v>2</v>
      </c>
      <c r="J10" s="412"/>
      <c r="K10" s="412">
        <v>244081445</v>
      </c>
      <c r="L10" s="384" t="s">
        <v>30</v>
      </c>
      <c r="M10" s="412"/>
      <c r="N10" s="412">
        <f>9774294.3+915305.4+915305.4+915305.4+915305.4</f>
        <v>13435515.900000002</v>
      </c>
      <c r="O10" s="412">
        <f>K10-M10</f>
        <v>244081445</v>
      </c>
      <c r="P10" s="528"/>
      <c r="Q10" s="379" t="s">
        <v>498</v>
      </c>
      <c r="S10" s="5"/>
    </row>
    <row r="11" spans="1:19" ht="76.5" customHeight="1" outlineLevel="1" x14ac:dyDescent="0.25">
      <c r="A11" s="532">
        <v>5</v>
      </c>
      <c r="B11" s="381" t="s">
        <v>25</v>
      </c>
      <c r="C11" s="521" t="s">
        <v>42</v>
      </c>
      <c r="D11" s="375" t="s">
        <v>126</v>
      </c>
      <c r="E11" s="541" t="s">
        <v>514</v>
      </c>
      <c r="F11" s="375" t="s">
        <v>497</v>
      </c>
      <c r="G11" s="541" t="s">
        <v>302</v>
      </c>
      <c r="H11" s="531" t="s">
        <v>43</v>
      </c>
      <c r="I11" s="405" t="s">
        <v>29</v>
      </c>
      <c r="J11" s="412">
        <v>10000000</v>
      </c>
      <c r="K11" s="412"/>
      <c r="L11" s="384" t="s">
        <v>44</v>
      </c>
      <c r="M11" s="412"/>
      <c r="N11" s="412">
        <v>50000</v>
      </c>
      <c r="O11" s="412">
        <f>K11-M11</f>
        <v>0</v>
      </c>
      <c r="P11" s="521" t="s">
        <v>45</v>
      </c>
      <c r="Q11" s="378" t="s">
        <v>498</v>
      </c>
      <c r="S11" s="5"/>
    </row>
    <row r="12" spans="1:19" ht="76.5" customHeight="1" outlineLevel="1" x14ac:dyDescent="0.25">
      <c r="A12" s="533"/>
      <c r="B12" s="381" t="s">
        <v>25</v>
      </c>
      <c r="C12" s="528"/>
      <c r="D12" s="375" t="s">
        <v>463</v>
      </c>
      <c r="E12" s="542"/>
      <c r="F12" s="375" t="s">
        <v>499</v>
      </c>
      <c r="G12" s="542"/>
      <c r="H12" s="530"/>
      <c r="I12" s="375" t="s">
        <v>2</v>
      </c>
      <c r="J12" s="412"/>
      <c r="K12" s="412"/>
      <c r="L12" s="384" t="s">
        <v>44</v>
      </c>
      <c r="M12" s="412"/>
      <c r="N12" s="412"/>
      <c r="O12" s="412">
        <f t="shared" si="0"/>
        <v>0</v>
      </c>
      <c r="P12" s="528"/>
      <c r="Q12" s="379" t="s">
        <v>498</v>
      </c>
      <c r="S12" s="5"/>
    </row>
    <row r="13" spans="1:19" ht="76.5" customHeight="1" outlineLevel="1" x14ac:dyDescent="0.25">
      <c r="A13" s="532">
        <v>6</v>
      </c>
      <c r="B13" s="381" t="s">
        <v>25</v>
      </c>
      <c r="C13" s="521" t="s">
        <v>46</v>
      </c>
      <c r="D13" s="375" t="s">
        <v>27</v>
      </c>
      <c r="E13" s="541" t="s">
        <v>515</v>
      </c>
      <c r="F13" s="375" t="s">
        <v>497</v>
      </c>
      <c r="G13" s="541" t="s">
        <v>303</v>
      </c>
      <c r="H13" s="531" t="s">
        <v>47</v>
      </c>
      <c r="I13" s="405" t="s">
        <v>29</v>
      </c>
      <c r="J13" s="412">
        <v>83000000</v>
      </c>
      <c r="K13" s="412"/>
      <c r="L13" s="384" t="s">
        <v>464</v>
      </c>
      <c r="M13" s="412"/>
      <c r="N13" s="412">
        <f>1930326.40003794+103750+103750+103750+103750+46481037.5/448.01+43097750/415.4</f>
        <v>2552826.4000379397</v>
      </c>
      <c r="O13" s="412">
        <f t="shared" si="0"/>
        <v>0</v>
      </c>
      <c r="P13" s="521" t="s">
        <v>35</v>
      </c>
      <c r="Q13" s="378" t="s">
        <v>498</v>
      </c>
      <c r="S13" s="5"/>
    </row>
    <row r="14" spans="1:19" ht="76.5" customHeight="1" outlineLevel="1" x14ac:dyDescent="0.25">
      <c r="A14" s="533"/>
      <c r="B14" s="381" t="s">
        <v>25</v>
      </c>
      <c r="C14" s="528"/>
      <c r="D14" s="375" t="s">
        <v>463</v>
      </c>
      <c r="E14" s="542"/>
      <c r="F14" s="375" t="s">
        <v>499</v>
      </c>
      <c r="G14" s="542"/>
      <c r="H14" s="530"/>
      <c r="I14" s="375" t="s">
        <v>2</v>
      </c>
      <c r="J14" s="412"/>
      <c r="K14" s="412"/>
      <c r="L14" s="384" t="s">
        <v>464</v>
      </c>
      <c r="M14" s="412"/>
      <c r="N14" s="412"/>
      <c r="O14" s="412">
        <f t="shared" si="0"/>
        <v>0</v>
      </c>
      <c r="P14" s="528"/>
      <c r="Q14" s="379" t="s">
        <v>498</v>
      </c>
      <c r="R14" s="8"/>
      <c r="S14" s="5"/>
    </row>
    <row r="15" spans="1:19" ht="96.75" customHeight="1" outlineLevel="1" x14ac:dyDescent="0.25">
      <c r="A15" s="532">
        <v>7</v>
      </c>
      <c r="B15" s="381" t="s">
        <v>25</v>
      </c>
      <c r="C15" s="521" t="s">
        <v>48</v>
      </c>
      <c r="D15" s="531" t="s">
        <v>49</v>
      </c>
      <c r="E15" s="541" t="s">
        <v>516</v>
      </c>
      <c r="F15" s="375" t="s">
        <v>497</v>
      </c>
      <c r="G15" s="541" t="s">
        <v>304</v>
      </c>
      <c r="H15" s="531" t="s">
        <v>50</v>
      </c>
      <c r="I15" s="405" t="s">
        <v>51</v>
      </c>
      <c r="J15" s="412">
        <f>35500000-1434414.8</f>
        <v>34065585.200000003</v>
      </c>
      <c r="K15" s="412">
        <v>34065585.200000003</v>
      </c>
      <c r="L15" s="397" t="s">
        <v>367</v>
      </c>
      <c r="M15" s="412">
        <f>3406558.5+438685248.4/386.33+457603003.3/402.99+440229555/387.69</f>
        <v>6813117.0000130683</v>
      </c>
      <c r="N15" s="412">
        <f>6927866.15+372600334/386.33+433310604.9/402.99+419066992.3/387.69</f>
        <v>10048499.749881966</v>
      </c>
      <c r="O15" s="412">
        <f t="shared" si="0"/>
        <v>27252468.199986935</v>
      </c>
      <c r="P15" s="521" t="s">
        <v>52</v>
      </c>
      <c r="Q15" s="378" t="s">
        <v>498</v>
      </c>
      <c r="R15" s="8"/>
      <c r="S15" s="5"/>
    </row>
    <row r="16" spans="1:19" ht="81.75" customHeight="1" outlineLevel="1" x14ac:dyDescent="0.25">
      <c r="A16" s="533"/>
      <c r="B16" s="381" t="s">
        <v>25</v>
      </c>
      <c r="C16" s="528"/>
      <c r="D16" s="530"/>
      <c r="E16" s="542"/>
      <c r="F16" s="375" t="s">
        <v>499</v>
      </c>
      <c r="G16" s="542"/>
      <c r="H16" s="530"/>
      <c r="I16" s="375" t="s">
        <v>2</v>
      </c>
      <c r="J16" s="412"/>
      <c r="K16" s="412">
        <v>3680136115.8000002</v>
      </c>
      <c r="L16" s="397" t="s">
        <v>367</v>
      </c>
      <c r="M16" s="412">
        <f>387003402.1+121967878.3+121967878.3+121967878.3</f>
        <v>752907037</v>
      </c>
      <c r="N16" s="412">
        <f>743758864.24+103594252.5+115493072.7+116104685.6</f>
        <v>1078950875.04</v>
      </c>
      <c r="O16" s="412">
        <f t="shared" si="0"/>
        <v>2927229078.8000002</v>
      </c>
      <c r="P16" s="528"/>
      <c r="Q16" s="379" t="s">
        <v>498</v>
      </c>
      <c r="R16" s="8"/>
      <c r="S16" s="5"/>
    </row>
    <row r="17" spans="1:18" s="5" customFormat="1" ht="66.75" customHeight="1" outlineLevel="1" x14ac:dyDescent="0.25">
      <c r="A17" s="532">
        <v>8</v>
      </c>
      <c r="B17" s="381" t="s">
        <v>25</v>
      </c>
      <c r="C17" s="521" t="s">
        <v>53</v>
      </c>
      <c r="D17" s="531" t="s">
        <v>49</v>
      </c>
      <c r="E17" s="541" t="s">
        <v>517</v>
      </c>
      <c r="F17" s="375" t="s">
        <v>497</v>
      </c>
      <c r="G17" s="541" t="s">
        <v>305</v>
      </c>
      <c r="H17" s="541" t="s">
        <v>54</v>
      </c>
      <c r="I17" s="405" t="s">
        <v>51</v>
      </c>
      <c r="J17" s="34">
        <f>40000000-2500000-1500000</f>
        <v>36000000</v>
      </c>
      <c r="K17" s="412">
        <v>25459684.080000002</v>
      </c>
      <c r="L17" s="411" t="s">
        <v>367</v>
      </c>
      <c r="M17" s="412">
        <f>329635002.4/388.42</f>
        <v>848656.10009783215</v>
      </c>
      <c r="N17" s="412">
        <f>4091306.45123489+373977422.6/403.57+376544951.9/388.42</f>
        <v>5987406.7512976453</v>
      </c>
      <c r="O17" s="412">
        <f t="shared" si="0"/>
        <v>24611027.979902171</v>
      </c>
      <c r="P17" s="521" t="s">
        <v>52</v>
      </c>
      <c r="Q17" s="378" t="s">
        <v>498</v>
      </c>
      <c r="R17" s="8"/>
    </row>
    <row r="18" spans="1:18" s="5" customFormat="1" ht="58.5" customHeight="1" outlineLevel="1" x14ac:dyDescent="0.25">
      <c r="A18" s="533"/>
      <c r="B18" s="381" t="s">
        <v>25</v>
      </c>
      <c r="C18" s="528"/>
      <c r="D18" s="530"/>
      <c r="E18" s="542"/>
      <c r="F18" s="375" t="s">
        <v>499</v>
      </c>
      <c r="G18" s="542"/>
      <c r="H18" s="542"/>
      <c r="I18" s="375" t="s">
        <v>2</v>
      </c>
      <c r="J18" s="34"/>
      <c r="K18" s="412">
        <v>1298785286.0000002</v>
      </c>
      <c r="L18" s="411" t="s">
        <v>367</v>
      </c>
      <c r="M18" s="412">
        <f>563212.2+43274069.1</f>
        <v>43837281.300000004</v>
      </c>
      <c r="N18" s="412">
        <f>165583419.3+41681454.8+49409773.1</f>
        <v>256674647.20000002</v>
      </c>
      <c r="O18" s="412">
        <f t="shared" si="0"/>
        <v>1254948004.7000003</v>
      </c>
      <c r="P18" s="528"/>
      <c r="Q18" s="379" t="s">
        <v>498</v>
      </c>
      <c r="R18" s="8"/>
    </row>
    <row r="19" spans="1:18" s="5" customFormat="1" ht="70.5" customHeight="1" outlineLevel="1" x14ac:dyDescent="0.25">
      <c r="A19" s="532">
        <v>9</v>
      </c>
      <c r="B19" s="389" t="s">
        <v>25</v>
      </c>
      <c r="C19" s="521" t="s">
        <v>55</v>
      </c>
      <c r="D19" s="531" t="s">
        <v>49</v>
      </c>
      <c r="E19" s="601" t="s">
        <v>508</v>
      </c>
      <c r="F19" s="375" t="s">
        <v>497</v>
      </c>
      <c r="G19" s="606" t="s">
        <v>306</v>
      </c>
      <c r="H19" s="541" t="s">
        <v>56</v>
      </c>
      <c r="I19" s="405" t="s">
        <v>51</v>
      </c>
      <c r="J19" s="34">
        <v>23194486</v>
      </c>
      <c r="K19" s="412">
        <v>16165176.98</v>
      </c>
      <c r="L19" s="384" t="s">
        <v>367</v>
      </c>
      <c r="M19" s="412">
        <v>0</v>
      </c>
      <c r="N19" s="412">
        <f>1316813.632+122778919.2/386.33+153358408.7/402.99+182294474.3/387.69</f>
        <v>2485380.2321278523</v>
      </c>
      <c r="O19" s="412">
        <f t="shared" si="0"/>
        <v>16165176.98</v>
      </c>
      <c r="P19" s="521" t="s">
        <v>52</v>
      </c>
      <c r="Q19" s="399" t="s">
        <v>498</v>
      </c>
      <c r="R19" s="8"/>
    </row>
    <row r="20" spans="1:18" s="5" customFormat="1" ht="66.75" customHeight="1" outlineLevel="1" x14ac:dyDescent="0.25">
      <c r="A20" s="533"/>
      <c r="B20" s="389" t="s">
        <v>25</v>
      </c>
      <c r="C20" s="522"/>
      <c r="D20" s="529"/>
      <c r="E20" s="601"/>
      <c r="F20" s="375" t="s">
        <v>499</v>
      </c>
      <c r="G20" s="606"/>
      <c r="H20" s="542"/>
      <c r="I20" s="375" t="s">
        <v>2</v>
      </c>
      <c r="J20" s="34"/>
      <c r="K20" s="412">
        <f>1715005397.1+206000000</f>
        <v>1921005397.0999999</v>
      </c>
      <c r="L20" s="384" t="s">
        <v>367</v>
      </c>
      <c r="M20" s="412">
        <v>91463799.799999997</v>
      </c>
      <c r="N20" s="412">
        <f>119885553.7+36155098.5+43333756.7+53344969.4</f>
        <v>252719378.29999998</v>
      </c>
      <c r="O20" s="412">
        <f t="shared" si="0"/>
        <v>1829541597.3</v>
      </c>
      <c r="P20" s="528"/>
      <c r="Q20" s="399" t="s">
        <v>498</v>
      </c>
      <c r="R20" s="8"/>
    </row>
    <row r="21" spans="1:18" s="5" customFormat="1" ht="48" customHeight="1" outlineLevel="1" x14ac:dyDescent="0.25">
      <c r="A21" s="532">
        <v>10</v>
      </c>
      <c r="B21" s="389" t="s">
        <v>57</v>
      </c>
      <c r="C21" s="522"/>
      <c r="D21" s="529"/>
      <c r="E21" s="601"/>
      <c r="F21" s="375" t="s">
        <v>497</v>
      </c>
      <c r="G21" s="541" t="s">
        <v>307</v>
      </c>
      <c r="H21" s="541" t="s">
        <v>56</v>
      </c>
      <c r="I21" s="405" t="s">
        <v>51</v>
      </c>
      <c r="J21" s="412">
        <v>16662617.070000002</v>
      </c>
      <c r="K21" s="412">
        <v>16662617.070000002</v>
      </c>
      <c r="L21" s="384" t="s">
        <v>367</v>
      </c>
      <c r="M21" s="412"/>
      <c r="N21" s="412">
        <f>2194958+182027405/386.38+218562808/403.19+223111756.9/387.69</f>
        <v>3783641.8022023076</v>
      </c>
      <c r="O21" s="412">
        <f t="shared" si="0"/>
        <v>16662617.070000002</v>
      </c>
      <c r="P21" s="521" t="s">
        <v>52</v>
      </c>
      <c r="Q21" s="378" t="s">
        <v>498</v>
      </c>
      <c r="R21" s="8"/>
    </row>
    <row r="22" spans="1:18" s="5" customFormat="1" ht="54.75" customHeight="1" outlineLevel="1" x14ac:dyDescent="0.25">
      <c r="A22" s="533"/>
      <c r="B22" s="389" t="s">
        <v>57</v>
      </c>
      <c r="C22" s="528"/>
      <c r="D22" s="530"/>
      <c r="E22" s="601"/>
      <c r="F22" s="375" t="s">
        <v>499</v>
      </c>
      <c r="G22" s="542"/>
      <c r="H22" s="542"/>
      <c r="I22" s="405" t="s">
        <v>2</v>
      </c>
      <c r="J22" s="6"/>
      <c r="K22" s="412">
        <v>2003005775.2</v>
      </c>
      <c r="L22" s="384" t="s">
        <v>367</v>
      </c>
      <c r="M22" s="412"/>
      <c r="N22" s="412">
        <f>238604865.8+56631905+65163658.9+69156989.1</f>
        <v>429557418.79999995</v>
      </c>
      <c r="O22" s="412">
        <f t="shared" si="0"/>
        <v>2003005775.2</v>
      </c>
      <c r="P22" s="528"/>
      <c r="Q22" s="379" t="s">
        <v>498</v>
      </c>
      <c r="R22" s="8"/>
    </row>
    <row r="23" spans="1:18" s="5" customFormat="1" ht="57.75" customHeight="1" outlineLevel="1" x14ac:dyDescent="0.25">
      <c r="A23" s="532">
        <v>11</v>
      </c>
      <c r="B23" s="389" t="s">
        <v>25</v>
      </c>
      <c r="C23" s="521" t="s">
        <v>58</v>
      </c>
      <c r="D23" s="531" t="s">
        <v>59</v>
      </c>
      <c r="E23" s="601" t="s">
        <v>518</v>
      </c>
      <c r="F23" s="375" t="s">
        <v>497</v>
      </c>
      <c r="G23" s="541" t="s">
        <v>305</v>
      </c>
      <c r="H23" s="531" t="s">
        <v>60</v>
      </c>
      <c r="I23" s="405" t="s">
        <v>61</v>
      </c>
      <c r="J23" s="36">
        <v>13988153</v>
      </c>
      <c r="K23" s="412">
        <v>8262785.6411363389</v>
      </c>
      <c r="L23" s="384">
        <v>3.1399999999999997E-2</v>
      </c>
      <c r="M23" s="412">
        <f>1430873.60020494+107795234.9/520.68+109739226/530.07+105995907.4/511.99</f>
        <v>2051956.5004417119</v>
      </c>
      <c r="N23" s="412">
        <f>1219413.93+55848657.5/520.68+55104222/530.07+51579050.2/511.99</f>
        <v>1531373.7301682285</v>
      </c>
      <c r="O23" s="412">
        <f t="shared" si="0"/>
        <v>6210829.1406946275</v>
      </c>
      <c r="P23" s="521" t="s">
        <v>52</v>
      </c>
      <c r="Q23" s="378" t="s">
        <v>498</v>
      </c>
      <c r="R23" s="8"/>
    </row>
    <row r="24" spans="1:18" s="5" customFormat="1" ht="59.25" customHeight="1" outlineLevel="1" x14ac:dyDescent="0.25">
      <c r="A24" s="533"/>
      <c r="B24" s="389" t="s">
        <v>25</v>
      </c>
      <c r="C24" s="522"/>
      <c r="D24" s="529"/>
      <c r="E24" s="601"/>
      <c r="F24" s="375" t="s">
        <v>499</v>
      </c>
      <c r="G24" s="542"/>
      <c r="H24" s="530"/>
      <c r="I24" s="375" t="s">
        <v>2</v>
      </c>
      <c r="J24" s="37"/>
      <c r="K24" s="412">
        <v>1194787815</v>
      </c>
      <c r="L24" s="384">
        <v>3.1399999999999997E-2</v>
      </c>
      <c r="M24" s="412">
        <f>209123295.3+29868621.8+29868621.8+29868621.8</f>
        <v>298729160.70000005</v>
      </c>
      <c r="N24" s="412">
        <f>177460224.6+15474933+14998180+14534453</f>
        <v>222467790.59999999</v>
      </c>
      <c r="O24" s="412">
        <f t="shared" si="0"/>
        <v>896058654.29999995</v>
      </c>
      <c r="P24" s="528"/>
      <c r="Q24" s="379" t="s">
        <v>498</v>
      </c>
      <c r="R24" s="8"/>
    </row>
    <row r="25" spans="1:18" s="5" customFormat="1" ht="51.75" customHeight="1" outlineLevel="1" x14ac:dyDescent="0.25">
      <c r="A25" s="532">
        <v>12</v>
      </c>
      <c r="B25" s="389" t="s">
        <v>62</v>
      </c>
      <c r="C25" s="522"/>
      <c r="D25" s="529"/>
      <c r="E25" s="601"/>
      <c r="F25" s="375" t="s">
        <v>497</v>
      </c>
      <c r="G25" s="541" t="s">
        <v>308</v>
      </c>
      <c r="H25" s="531" t="s">
        <v>60</v>
      </c>
      <c r="I25" s="405" t="s">
        <v>61</v>
      </c>
      <c r="J25" s="36">
        <v>10098535</v>
      </c>
      <c r="K25" s="412">
        <v>10121386.37101347</v>
      </c>
      <c r="L25" s="384">
        <v>3.1399999999999997E-2</v>
      </c>
      <c r="M25" s="412">
        <f>1520990.1+136750579/520.29+138244588/530.59+133398381/511.99</f>
        <v>2304923.0035929154</v>
      </c>
      <c r="N25" s="412">
        <f>832426.027338+83294453/525+70252782/520.29+69454072/530.59+64924992/511.99</f>
        <v>1383817.1311368861</v>
      </c>
      <c r="O25" s="412">
        <f t="shared" si="0"/>
        <v>7816463.3674205542</v>
      </c>
      <c r="P25" s="521" t="s">
        <v>52</v>
      </c>
      <c r="Q25" s="378" t="s">
        <v>498</v>
      </c>
      <c r="R25" s="8"/>
    </row>
    <row r="26" spans="1:18" s="5" customFormat="1" ht="47.25" customHeight="1" outlineLevel="1" x14ac:dyDescent="0.25">
      <c r="A26" s="533"/>
      <c r="B26" s="389" t="s">
        <v>62</v>
      </c>
      <c r="C26" s="528"/>
      <c r="D26" s="530"/>
      <c r="E26" s="601"/>
      <c r="F26" s="375" t="s">
        <v>499</v>
      </c>
      <c r="G26" s="542"/>
      <c r="H26" s="530"/>
      <c r="I26" s="375" t="s">
        <v>2</v>
      </c>
      <c r="J26" s="37"/>
      <c r="K26" s="412">
        <v>794162455.89999998</v>
      </c>
      <c r="L26" s="384">
        <v>3.1399999999999997E-2</v>
      </c>
      <c r="M26" s="412">
        <f>123592049.7+20623615+20310837+20310837</f>
        <v>184837338.69999999</v>
      </c>
      <c r="N26" s="412">
        <f>78534680.8+10527955+10204165+9885285</f>
        <v>109152085.8</v>
      </c>
      <c r="O26" s="412">
        <f t="shared" si="0"/>
        <v>609325117.20000005</v>
      </c>
      <c r="P26" s="528"/>
      <c r="Q26" s="379" t="s">
        <v>498</v>
      </c>
      <c r="R26" s="8"/>
    </row>
    <row r="27" spans="1:18" s="5" customFormat="1" ht="48" customHeight="1" outlineLevel="1" x14ac:dyDescent="0.25">
      <c r="A27" s="372">
        <v>13</v>
      </c>
      <c r="B27" s="398" t="s">
        <v>25</v>
      </c>
      <c r="C27" s="521" t="s">
        <v>63</v>
      </c>
      <c r="D27" s="531" t="s">
        <v>64</v>
      </c>
      <c r="E27" s="607" t="s">
        <v>519</v>
      </c>
      <c r="F27" s="375" t="s">
        <v>497</v>
      </c>
      <c r="G27" s="377" t="s">
        <v>309</v>
      </c>
      <c r="H27" s="375" t="s">
        <v>65</v>
      </c>
      <c r="I27" s="405" t="s">
        <v>51</v>
      </c>
      <c r="J27" s="412">
        <v>19600000</v>
      </c>
      <c r="K27" s="412">
        <v>19419334.870000001</v>
      </c>
      <c r="L27" s="413">
        <v>5.0000000000000001E-3</v>
      </c>
      <c r="M27" s="412">
        <f>9716960.66852489+189584407.5/488.5+172026989.7/443.26+153375144/395.2+150045288.9/386.62+156421689.8/403.05+150324717.3/387.34</f>
        <v>12045530.668648943</v>
      </c>
      <c r="N27" s="412">
        <f>1129921.93024286+16077756.3/488.5+14096288.6/443.26+12233850.7/395.2+11546870.2/386.62+11574265.9/403.05+10860006.5/387.34</f>
        <v>1312212.2301338713</v>
      </c>
      <c r="O27" s="412">
        <f t="shared" si="0"/>
        <v>7373804.2013510577</v>
      </c>
      <c r="P27" s="140" t="s">
        <v>52</v>
      </c>
      <c r="Q27" s="140" t="s">
        <v>498</v>
      </c>
      <c r="R27" s="8"/>
    </row>
    <row r="28" spans="1:18" s="5" customFormat="1" ht="60" customHeight="1" outlineLevel="1" x14ac:dyDescent="0.25">
      <c r="A28" s="372">
        <v>14</v>
      </c>
      <c r="B28" s="398" t="s">
        <v>62</v>
      </c>
      <c r="C28" s="528"/>
      <c r="D28" s="530"/>
      <c r="E28" s="608"/>
      <c r="F28" s="375" t="s">
        <v>497</v>
      </c>
      <c r="G28" s="377" t="s">
        <v>310</v>
      </c>
      <c r="H28" s="375" t="s">
        <v>66</v>
      </c>
      <c r="I28" s="405" t="s">
        <v>51</v>
      </c>
      <c r="J28" s="412">
        <v>297276.53999999998</v>
      </c>
      <c r="K28" s="412">
        <v>297276.53999999998</v>
      </c>
      <c r="L28" s="411" t="s">
        <v>67</v>
      </c>
      <c r="M28" s="412">
        <f>257638.543537781+4361667/440.15+3916234/395.2+3837157/387.22+3994520/403.1</f>
        <v>297276.54625526333</v>
      </c>
      <c r="N28" s="412">
        <f>229541.53251276+1912186/489.99+1556591/440.15+1259898/395.2+1094284/387.22+991707/403.1</f>
        <v>245454.73643449965</v>
      </c>
      <c r="O28" s="412">
        <f t="shared" si="0"/>
        <v>-6.255263346247375E-3</v>
      </c>
      <c r="P28" s="140" t="s">
        <v>52</v>
      </c>
      <c r="Q28" s="140" t="s">
        <v>498</v>
      </c>
      <c r="R28" s="8"/>
    </row>
    <row r="29" spans="1:18" s="5" customFormat="1" ht="51" customHeight="1" outlineLevel="1" x14ac:dyDescent="0.25">
      <c r="A29" s="372">
        <v>15</v>
      </c>
      <c r="B29" s="398" t="s">
        <v>62</v>
      </c>
      <c r="C29" s="534" t="s">
        <v>68</v>
      </c>
      <c r="D29" s="531" t="s">
        <v>69</v>
      </c>
      <c r="E29" s="607" t="s">
        <v>520</v>
      </c>
      <c r="F29" s="375" t="s">
        <v>497</v>
      </c>
      <c r="G29" s="377" t="s">
        <v>311</v>
      </c>
      <c r="H29" s="375" t="s">
        <v>70</v>
      </c>
      <c r="I29" s="375" t="s">
        <v>71</v>
      </c>
      <c r="J29" s="412">
        <v>1571940173.3299999</v>
      </c>
      <c r="K29" s="412">
        <v>1598519063</v>
      </c>
      <c r="L29" s="413">
        <v>1.7999999999999999E-2</v>
      </c>
      <c r="M29" s="412">
        <f>1030178646.5+123394332/3.026+109815247/2.693+110426917/2.708+107613234/2.639</f>
        <v>1193290784.6071591</v>
      </c>
      <c r="N29" s="412">
        <f>226837831.925937+13873556/3.026+11211247/2.693+10505503/2.708+9205948/2.639</f>
        <v>242953578.05287489</v>
      </c>
      <c r="O29" s="412">
        <f t="shared" si="0"/>
        <v>405228278.39284086</v>
      </c>
      <c r="P29" s="140" t="s">
        <v>52</v>
      </c>
      <c r="Q29" s="140" t="s">
        <v>498</v>
      </c>
      <c r="R29" s="8"/>
    </row>
    <row r="30" spans="1:18" s="5" customFormat="1" ht="41.25" customHeight="1" outlineLevel="1" x14ac:dyDescent="0.25">
      <c r="A30" s="372">
        <v>16</v>
      </c>
      <c r="B30" s="399" t="s">
        <v>72</v>
      </c>
      <c r="C30" s="527"/>
      <c r="D30" s="530"/>
      <c r="E30" s="608"/>
      <c r="F30" s="375" t="s">
        <v>497</v>
      </c>
      <c r="G30" s="377" t="s">
        <v>312</v>
      </c>
      <c r="H30" s="375" t="s">
        <v>70</v>
      </c>
      <c r="I30" s="375" t="s">
        <v>71</v>
      </c>
      <c r="J30" s="412">
        <v>3796371795.6700001</v>
      </c>
      <c r="K30" s="412">
        <v>3861444249</v>
      </c>
      <c r="L30" s="413">
        <v>1.7999999999999999E-2</v>
      </c>
      <c r="M30" s="412">
        <f>2513837447.56+291897058.6/3.026+259774877.3/2.693+261800600/2.714+254469412/2.638</f>
        <v>2899689474.61869</v>
      </c>
      <c r="N30" s="412">
        <f>553224853.256799+32762341/3.026+26475306.9/2.693+24863667/2.714+21767387/2.638</f>
        <v>591295693.63595247</v>
      </c>
      <c r="O30" s="412">
        <f t="shared" si="0"/>
        <v>961754774.38130999</v>
      </c>
      <c r="P30" s="140" t="s">
        <v>52</v>
      </c>
      <c r="Q30" s="140" t="s">
        <v>498</v>
      </c>
      <c r="R30" s="8"/>
    </row>
    <row r="31" spans="1:18" s="5" customFormat="1" ht="69" customHeight="1" outlineLevel="1" x14ac:dyDescent="0.25">
      <c r="A31" s="532">
        <v>17</v>
      </c>
      <c r="B31" s="534" t="s">
        <v>73</v>
      </c>
      <c r="C31" s="521" t="s">
        <v>534</v>
      </c>
      <c r="D31" s="531" t="s">
        <v>64</v>
      </c>
      <c r="E31" s="607" t="s">
        <v>521</v>
      </c>
      <c r="F31" s="375" t="s">
        <v>497</v>
      </c>
      <c r="G31" s="541" t="s">
        <v>313</v>
      </c>
      <c r="H31" s="531" t="s">
        <v>75</v>
      </c>
      <c r="I31" s="405" t="s">
        <v>51</v>
      </c>
      <c r="J31" s="412">
        <v>4846628.13</v>
      </c>
      <c r="K31" s="412">
        <v>4737831.22</v>
      </c>
      <c r="L31" s="411">
        <v>7.4999999999999997E-3</v>
      </c>
      <c r="M31" s="412">
        <f>616176.07+18729201/386.44+19508050/402.51+18791723/387.73</f>
        <v>761574.0728560643</v>
      </c>
      <c r="N31" s="412">
        <f>353441.51+5923430/386.44+6198654/402.51+5835491.6/387.73</f>
        <v>399220.11103502067</v>
      </c>
      <c r="O31" s="412">
        <f t="shared" si="0"/>
        <v>3976257.1471439353</v>
      </c>
      <c r="P31" s="140" t="s">
        <v>76</v>
      </c>
      <c r="Q31" s="140" t="s">
        <v>498</v>
      </c>
      <c r="R31" s="8"/>
    </row>
    <row r="32" spans="1:18" s="5" customFormat="1" ht="69" customHeight="1" outlineLevel="1" x14ac:dyDescent="0.25">
      <c r="A32" s="533"/>
      <c r="B32" s="527"/>
      <c r="C32" s="528"/>
      <c r="D32" s="530"/>
      <c r="E32" s="608"/>
      <c r="F32" s="375" t="s">
        <v>499</v>
      </c>
      <c r="G32" s="542"/>
      <c r="H32" s="530"/>
      <c r="I32" s="375" t="s">
        <v>2</v>
      </c>
      <c r="J32" s="412">
        <v>1740568345.9000001</v>
      </c>
      <c r="K32" s="412">
        <v>1740568345.9000001</v>
      </c>
      <c r="L32" s="411">
        <v>7.4999999999999997E-3</v>
      </c>
      <c r="M32" s="412">
        <f>247100359+17402579+17402579+17402579</f>
        <v>299308096</v>
      </c>
      <c r="N32" s="412">
        <f>128165336.87+5554115.8+5580740.4+5454641.8</f>
        <v>144754834.87</v>
      </c>
      <c r="O32" s="412">
        <f t="shared" si="0"/>
        <v>1441260249.9000001</v>
      </c>
      <c r="P32" s="140" t="s">
        <v>76</v>
      </c>
      <c r="Q32" s="140" t="s">
        <v>498</v>
      </c>
      <c r="R32" s="8"/>
    </row>
    <row r="33" spans="1:19" ht="87" customHeight="1" outlineLevel="1" x14ac:dyDescent="0.25">
      <c r="A33" s="372">
        <v>18</v>
      </c>
      <c r="B33" s="398" t="s">
        <v>77</v>
      </c>
      <c r="C33" s="399" t="s">
        <v>78</v>
      </c>
      <c r="D33" s="375" t="s">
        <v>27</v>
      </c>
      <c r="E33" s="377" t="s">
        <v>522</v>
      </c>
      <c r="F33" s="375" t="s">
        <v>497</v>
      </c>
      <c r="G33" s="377" t="s">
        <v>314</v>
      </c>
      <c r="H33" s="377" t="s">
        <v>79</v>
      </c>
      <c r="I33" s="405" t="s">
        <v>29</v>
      </c>
      <c r="J33" s="39">
        <v>17895215.550000001</v>
      </c>
      <c r="K33" s="412">
        <v>17895215.550000001</v>
      </c>
      <c r="L33" s="411">
        <v>7.4999999999999997E-3</v>
      </c>
      <c r="M33" s="412">
        <f>7748628.1+130294835.3/415.04+137735052.2/438.74+131942984.6/420.29</f>
        <v>8690427.6999388505</v>
      </c>
      <c r="N33" s="412">
        <f>2568161.28+12471869/415.04+3320320/414.34+16171473.8/438.74+15002335.6/420.29</f>
        <v>2678778.6955025364</v>
      </c>
      <c r="O33" s="412">
        <f t="shared" si="0"/>
        <v>9204787.8500611503</v>
      </c>
      <c r="P33" s="140" t="s">
        <v>52</v>
      </c>
      <c r="Q33" s="140" t="s">
        <v>498</v>
      </c>
      <c r="R33" s="8"/>
      <c r="S33" s="5"/>
    </row>
    <row r="34" spans="1:19" ht="55.5" customHeight="1" outlineLevel="1" x14ac:dyDescent="0.25">
      <c r="A34" s="532">
        <v>19</v>
      </c>
      <c r="B34" s="389" t="s">
        <v>80</v>
      </c>
      <c r="C34" s="521" t="s">
        <v>81</v>
      </c>
      <c r="D34" s="521" t="s">
        <v>277</v>
      </c>
      <c r="E34" s="521" t="s">
        <v>523</v>
      </c>
      <c r="F34" s="399" t="s">
        <v>497</v>
      </c>
      <c r="G34" s="521" t="s">
        <v>315</v>
      </c>
      <c r="H34" s="399" t="s">
        <v>82</v>
      </c>
      <c r="I34" s="405" t="s">
        <v>29</v>
      </c>
      <c r="J34" s="42">
        <v>22000000</v>
      </c>
      <c r="K34" s="412">
        <v>21247150.510000002</v>
      </c>
      <c r="L34" s="400" t="s">
        <v>83</v>
      </c>
      <c r="M34" s="412">
        <f>1047000+1047000+1047000+1047000+1047000+1047000+1047000+1047000</f>
        <v>8376000</v>
      </c>
      <c r="N34" s="412">
        <f>2375876.3+237670.2</f>
        <v>2613546.5</v>
      </c>
      <c r="O34" s="412">
        <f>J34-M34</f>
        <v>13624000</v>
      </c>
      <c r="P34" s="521" t="s">
        <v>439</v>
      </c>
      <c r="Q34" s="381" t="s">
        <v>498</v>
      </c>
      <c r="R34" s="8"/>
      <c r="S34" s="5"/>
    </row>
    <row r="35" spans="1:19" ht="68.25" customHeight="1" outlineLevel="1" x14ac:dyDescent="0.25">
      <c r="A35" s="525"/>
      <c r="B35" s="389" t="s">
        <v>80</v>
      </c>
      <c r="C35" s="522"/>
      <c r="D35" s="522"/>
      <c r="E35" s="522"/>
      <c r="F35" s="399" t="s">
        <v>497</v>
      </c>
      <c r="G35" s="522"/>
      <c r="H35" s="399" t="s">
        <v>85</v>
      </c>
      <c r="I35" s="405" t="s">
        <v>29</v>
      </c>
      <c r="J35" s="42">
        <v>14500000</v>
      </c>
      <c r="K35" s="412">
        <v>14491281.059999999</v>
      </c>
      <c r="L35" s="400" t="s">
        <v>30</v>
      </c>
      <c r="M35" s="412">
        <f>241000+241000+241000+241000+241000+241000+241000+241000</f>
        <v>1928000</v>
      </c>
      <c r="N35" s="412">
        <f>628643.7+48048.75</f>
        <v>676692.45</v>
      </c>
      <c r="O35" s="412">
        <f>J35-M35</f>
        <v>12572000</v>
      </c>
      <c r="P35" s="522"/>
      <c r="Q35" s="391" t="s">
        <v>498</v>
      </c>
      <c r="R35" s="8"/>
      <c r="S35" s="5"/>
    </row>
    <row r="36" spans="1:19" ht="62.25" customHeight="1" outlineLevel="1" x14ac:dyDescent="0.25">
      <c r="A36" s="533"/>
      <c r="B36" s="389" t="s">
        <v>80</v>
      </c>
      <c r="C36" s="528"/>
      <c r="D36" s="528"/>
      <c r="E36" s="528"/>
      <c r="F36" s="399" t="s">
        <v>497</v>
      </c>
      <c r="G36" s="528"/>
      <c r="H36" s="399" t="s">
        <v>86</v>
      </c>
      <c r="I36" s="405" t="s">
        <v>29</v>
      </c>
      <c r="J36" s="42">
        <v>14500000</v>
      </c>
      <c r="K36" s="412">
        <v>14500000.000000002</v>
      </c>
      <c r="L36" s="400" t="s">
        <v>87</v>
      </c>
      <c r="M36" s="412">
        <f>2519999.6+630000+630000+630000+630000</f>
        <v>5039999.5999999996</v>
      </c>
      <c r="N36" s="412">
        <f>2336020+207340.05</f>
        <v>2543360.0499999998</v>
      </c>
      <c r="O36" s="412">
        <f>J36-M36</f>
        <v>9460000.4000000004</v>
      </c>
      <c r="P36" s="528"/>
      <c r="Q36" s="373" t="s">
        <v>498</v>
      </c>
      <c r="R36" s="8"/>
      <c r="S36" s="5"/>
    </row>
    <row r="37" spans="1:19" ht="94.5" customHeight="1" outlineLevel="1" x14ac:dyDescent="0.25">
      <c r="A37" s="372">
        <v>20</v>
      </c>
      <c r="B37" s="399" t="s">
        <v>88</v>
      </c>
      <c r="C37" s="398" t="s">
        <v>89</v>
      </c>
      <c r="D37" s="375" t="s">
        <v>69</v>
      </c>
      <c r="E37" s="375" t="s">
        <v>524</v>
      </c>
      <c r="F37" s="375" t="s">
        <v>497</v>
      </c>
      <c r="G37" s="377" t="s">
        <v>316</v>
      </c>
      <c r="H37" s="375" t="s">
        <v>90</v>
      </c>
      <c r="I37" s="375" t="s">
        <v>71</v>
      </c>
      <c r="J37" s="388">
        <v>26409000000</v>
      </c>
      <c r="K37" s="412">
        <v>26399286331</v>
      </c>
      <c r="L37" s="411">
        <v>7.4999999999999997E-3</v>
      </c>
      <c r="M37" s="412">
        <f>7357230331.16835+1131704010/2.615+1153775484/2.666</f>
        <v>8222778331.1683502</v>
      </c>
      <c r="N37" s="412">
        <f>2607354309.06995+188428717.2/2.615+185536580.8/2.666</f>
        <v>2749004796.0961809</v>
      </c>
      <c r="O37" s="386">
        <f t="shared" ref="O37:O45" si="1">K37-M37</f>
        <v>18176507999.83165</v>
      </c>
      <c r="P37" s="140" t="s">
        <v>91</v>
      </c>
      <c r="Q37" s="140" t="s">
        <v>498</v>
      </c>
      <c r="R37" s="8"/>
      <c r="S37" s="5"/>
    </row>
    <row r="38" spans="1:19" ht="86.25" customHeight="1" outlineLevel="1" x14ac:dyDescent="0.25">
      <c r="A38" s="372">
        <v>21</v>
      </c>
      <c r="B38" s="398" t="s">
        <v>25</v>
      </c>
      <c r="C38" s="399" t="s">
        <v>92</v>
      </c>
      <c r="D38" s="399" t="s">
        <v>93</v>
      </c>
      <c r="E38" s="399" t="s">
        <v>525</v>
      </c>
      <c r="F38" s="399" t="s">
        <v>497</v>
      </c>
      <c r="G38" s="377" t="s">
        <v>317</v>
      </c>
      <c r="H38" s="375" t="s">
        <v>94</v>
      </c>
      <c r="I38" s="405" t="s">
        <v>51</v>
      </c>
      <c r="J38" s="412">
        <v>8988290</v>
      </c>
      <c r="K38" s="412">
        <v>8988290</v>
      </c>
      <c r="L38" s="413">
        <v>5.0000000000000001E-3</v>
      </c>
      <c r="M38" s="412">
        <f>4199999.97+600000+600000+289644000/482.74+290820000/484.7+286458000/477.43+600000+600000+231939215.4/394.26</f>
        <v>8988289.9699999988</v>
      </c>
      <c r="N38" s="412">
        <f>838542.942447016+522591.6/394.26</f>
        <v>839868.44237092405</v>
      </c>
      <c r="O38" s="386">
        <f t="shared" si="1"/>
        <v>3.0000001192092896E-2</v>
      </c>
      <c r="P38" s="140" t="s">
        <v>76</v>
      </c>
      <c r="Q38" s="140" t="s">
        <v>498</v>
      </c>
      <c r="R38" s="8"/>
      <c r="S38" s="5"/>
    </row>
    <row r="39" spans="1:19" ht="73.5" customHeight="1" outlineLevel="1" x14ac:dyDescent="0.25">
      <c r="A39" s="372">
        <v>22</v>
      </c>
      <c r="B39" s="398" t="s">
        <v>95</v>
      </c>
      <c r="C39" s="399" t="s">
        <v>92</v>
      </c>
      <c r="D39" s="399" t="s">
        <v>96</v>
      </c>
      <c r="E39" s="399" t="s">
        <v>526</v>
      </c>
      <c r="F39" s="399" t="s">
        <v>497</v>
      </c>
      <c r="G39" s="43" t="s">
        <v>318</v>
      </c>
      <c r="H39" s="412" t="s">
        <v>97</v>
      </c>
      <c r="I39" s="40" t="s">
        <v>2</v>
      </c>
      <c r="J39" s="412">
        <v>1757100000</v>
      </c>
      <c r="K39" s="412">
        <v>1757100000</v>
      </c>
      <c r="L39" s="411">
        <v>7.4999999999999997E-3</v>
      </c>
      <c r="M39" s="412">
        <f>439275000+62753571.5+62753571.5+62753571.3+62753571.4+62753571.4+62753571.4+62753571.5+62753571.5+62753571.5</f>
        <v>1004057142.9999999</v>
      </c>
      <c r="N39" s="412">
        <f>303383430.5+3313904.4+3032802.7+3076644.3+2814884.5</f>
        <v>315621666.39999998</v>
      </c>
      <c r="O39" s="386">
        <f t="shared" si="1"/>
        <v>753042857.00000012</v>
      </c>
      <c r="P39" s="140" t="s">
        <v>76</v>
      </c>
      <c r="Q39" s="140" t="s">
        <v>498</v>
      </c>
      <c r="R39" s="8"/>
      <c r="S39" s="5"/>
    </row>
    <row r="40" spans="1:19" ht="82.5" customHeight="1" outlineLevel="1" x14ac:dyDescent="0.25">
      <c r="A40" s="380">
        <v>23</v>
      </c>
      <c r="B40" s="398" t="s">
        <v>95</v>
      </c>
      <c r="C40" s="399" t="s">
        <v>98</v>
      </c>
      <c r="D40" s="399" t="s">
        <v>463</v>
      </c>
      <c r="E40" s="399"/>
      <c r="F40" s="399" t="s">
        <v>441</v>
      </c>
      <c r="G40" s="43" t="s">
        <v>509</v>
      </c>
      <c r="H40" s="412" t="s">
        <v>99</v>
      </c>
      <c r="I40" s="40" t="s">
        <v>2</v>
      </c>
      <c r="J40" s="412">
        <v>18700000000</v>
      </c>
      <c r="K40" s="412">
        <v>18700000000</v>
      </c>
      <c r="L40" s="384">
        <v>7.4999999999999997E-2</v>
      </c>
      <c r="M40" s="412">
        <f>890476190.5+890476190.5+890476190.5+890476190.5+890476190.5</f>
        <v>4452380952.5</v>
      </c>
      <c r="N40" s="412">
        <f>1333335616.4+703171232.9+699328767.1+670052837.5+632909002+602718199.6+569233855.2</f>
        <v>5210749510.6999998</v>
      </c>
      <c r="O40" s="386">
        <f t="shared" si="1"/>
        <v>14247619047.5</v>
      </c>
      <c r="P40" s="140" t="s">
        <v>76</v>
      </c>
      <c r="Q40" s="140" t="s">
        <v>498</v>
      </c>
      <c r="R40" s="8"/>
      <c r="S40" s="5"/>
    </row>
    <row r="41" spans="1:19" ht="63.75" customHeight="1" outlineLevel="1" x14ac:dyDescent="0.25">
      <c r="A41" s="380">
        <v>24</v>
      </c>
      <c r="B41" s="398" t="s">
        <v>95</v>
      </c>
      <c r="C41" s="381" t="s">
        <v>278</v>
      </c>
      <c r="D41" s="399" t="s">
        <v>463</v>
      </c>
      <c r="E41" s="381"/>
      <c r="F41" s="399" t="s">
        <v>441</v>
      </c>
      <c r="G41" s="43" t="s">
        <v>510</v>
      </c>
      <c r="H41" s="412" t="s">
        <v>265</v>
      </c>
      <c r="I41" s="40" t="s">
        <v>2</v>
      </c>
      <c r="J41" s="412">
        <v>25000000000</v>
      </c>
      <c r="K41" s="412">
        <v>25000000000</v>
      </c>
      <c r="L41" s="384">
        <v>0.09</v>
      </c>
      <c r="M41" s="412">
        <f>1190476190.4+1190476190.5+1190476190.5</f>
        <v>3571428571.4000001</v>
      </c>
      <c r="N41" s="412">
        <f>1171232876.7+1121917808.3+1128082191.8+1121917808.2+1074363992.2+1020645792.6</f>
        <v>6638160469.8000002</v>
      </c>
      <c r="O41" s="386">
        <f t="shared" si="1"/>
        <v>21428571428.599998</v>
      </c>
      <c r="P41" s="140" t="s">
        <v>76</v>
      </c>
      <c r="Q41" s="140" t="s">
        <v>498</v>
      </c>
      <c r="R41" s="8"/>
      <c r="S41" s="5"/>
    </row>
    <row r="42" spans="1:19" ht="78.75" customHeight="1" outlineLevel="1" x14ac:dyDescent="0.25">
      <c r="A42" s="532">
        <v>25</v>
      </c>
      <c r="B42" s="389" t="s">
        <v>95</v>
      </c>
      <c r="C42" s="521" t="s">
        <v>100</v>
      </c>
      <c r="D42" s="375" t="s">
        <v>472</v>
      </c>
      <c r="E42" s="521" t="s">
        <v>527</v>
      </c>
      <c r="F42" s="375" t="s">
        <v>497</v>
      </c>
      <c r="G42" s="541" t="s">
        <v>321</v>
      </c>
      <c r="H42" s="543" t="s">
        <v>102</v>
      </c>
      <c r="I42" s="405" t="s">
        <v>51</v>
      </c>
      <c r="J42" s="36">
        <v>270000000</v>
      </c>
      <c r="K42" s="412">
        <v>170663629.05000004</v>
      </c>
      <c r="L42" s="403">
        <v>0.03</v>
      </c>
      <c r="M42" s="412">
        <f>51199088.7002228+3370009369.8/394.93+3295429324.9/386.19+3461143748.2/405.61+3310959715/388.01</f>
        <v>85331814.500250429</v>
      </c>
      <c r="N42" s="412">
        <f>20309911.275649+723428666.7/394.93+646453366.1/386.19+636850451.3/405.61+552378447/388.01</f>
        <v>26809351.07566011</v>
      </c>
      <c r="O42" s="386">
        <f t="shared" si="1"/>
        <v>85331814.549749613</v>
      </c>
      <c r="P42" s="521" t="s">
        <v>84</v>
      </c>
      <c r="Q42" s="378" t="s">
        <v>498</v>
      </c>
      <c r="R42" s="8"/>
      <c r="S42" s="5"/>
    </row>
    <row r="43" spans="1:19" ht="71.25" customHeight="1" outlineLevel="1" x14ac:dyDescent="0.25">
      <c r="A43" s="533"/>
      <c r="B43" s="389" t="s">
        <v>95</v>
      </c>
      <c r="C43" s="528"/>
      <c r="D43" s="399" t="s">
        <v>463</v>
      </c>
      <c r="E43" s="528"/>
      <c r="F43" s="399" t="s">
        <v>499</v>
      </c>
      <c r="G43" s="542"/>
      <c r="H43" s="544"/>
      <c r="I43" s="40" t="s">
        <v>2</v>
      </c>
      <c r="J43" s="37">
        <v>1265847400</v>
      </c>
      <c r="K43" s="412">
        <f>9509488626+108542329</f>
        <v>9618030955</v>
      </c>
      <c r="L43" s="403">
        <v>0.03</v>
      </c>
      <c r="M43" s="412">
        <f>2858334735.47632+482835444.3+482835444.2+482835444.3+482835444.2</f>
        <v>4789676512.4763193</v>
      </c>
      <c r="N43" s="412">
        <f>1045375895.11175+103648675.3+94716219.7+88841721.7+80553046.6</f>
        <v>1413135558.4117501</v>
      </c>
      <c r="O43" s="386">
        <f t="shared" si="1"/>
        <v>4828354442.5236807</v>
      </c>
      <c r="P43" s="528"/>
      <c r="Q43" s="379" t="s">
        <v>498</v>
      </c>
      <c r="R43" s="8"/>
      <c r="S43" s="5"/>
    </row>
    <row r="44" spans="1:19" ht="79.5" customHeight="1" outlineLevel="1" x14ac:dyDescent="0.25">
      <c r="A44" s="372">
        <v>26</v>
      </c>
      <c r="B44" s="398" t="s">
        <v>95</v>
      </c>
      <c r="C44" s="399" t="s">
        <v>103</v>
      </c>
      <c r="D44" s="531" t="s">
        <v>49</v>
      </c>
      <c r="E44" s="521" t="s">
        <v>528</v>
      </c>
      <c r="F44" s="374" t="s">
        <v>497</v>
      </c>
      <c r="G44" s="376" t="s">
        <v>322</v>
      </c>
      <c r="H44" s="402" t="s">
        <v>104</v>
      </c>
      <c r="I44" s="31" t="s">
        <v>51</v>
      </c>
      <c r="J44" s="36">
        <v>8907500</v>
      </c>
      <c r="K44" s="412">
        <v>8907384.7100000009</v>
      </c>
      <c r="L44" s="384" t="s">
        <v>368</v>
      </c>
      <c r="M44" s="412"/>
      <c r="N44" s="412">
        <f>1241236.45+96159781.6/386.38+118034920.8/403.19+119269571.9/387.69</f>
        <v>2090504.2500873837</v>
      </c>
      <c r="O44" s="395">
        <f t="shared" si="1"/>
        <v>8907384.7100000009</v>
      </c>
      <c r="P44" s="378" t="s">
        <v>105</v>
      </c>
      <c r="Q44" s="378" t="s">
        <v>498</v>
      </c>
      <c r="R44" s="8"/>
      <c r="S44" s="5"/>
    </row>
    <row r="45" spans="1:19" ht="116.25" customHeight="1" outlineLevel="1" thickBot="1" x14ac:dyDescent="0.3">
      <c r="A45" s="399">
        <v>27</v>
      </c>
      <c r="B45" s="373" t="s">
        <v>88</v>
      </c>
      <c r="C45" s="391" t="s">
        <v>103</v>
      </c>
      <c r="D45" s="594"/>
      <c r="E45" s="528"/>
      <c r="F45" s="374" t="s">
        <v>497</v>
      </c>
      <c r="G45" s="376" t="s">
        <v>323</v>
      </c>
      <c r="H45" s="51" t="s">
        <v>104</v>
      </c>
      <c r="I45" s="49" t="s">
        <v>51</v>
      </c>
      <c r="J45" s="52">
        <v>21092500</v>
      </c>
      <c r="K45" s="412">
        <v>21092210.790000003</v>
      </c>
      <c r="L45" s="298" t="s">
        <v>368</v>
      </c>
      <c r="M45" s="412"/>
      <c r="N45" s="412">
        <f>3081286.01+227668040/386.38+279535083/403.19+282423985/387.69</f>
        <v>5092306.983008015</v>
      </c>
      <c r="O45" s="394">
        <f t="shared" si="1"/>
        <v>21092210.790000003</v>
      </c>
      <c r="P45" s="378" t="s">
        <v>106</v>
      </c>
      <c r="Q45" s="378" t="s">
        <v>498</v>
      </c>
      <c r="R45" s="8"/>
      <c r="S45" s="5"/>
    </row>
    <row r="46" spans="1:19" s="9" customFormat="1" ht="15" customHeight="1" x14ac:dyDescent="0.25">
      <c r="A46" s="591" t="s">
        <v>115</v>
      </c>
      <c r="B46" s="592"/>
      <c r="C46" s="5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152"/>
      <c r="R46" s="8"/>
      <c r="S46" s="5"/>
    </row>
    <row r="47" spans="1:19" s="9" customFormat="1" ht="15" customHeight="1" x14ac:dyDescent="0.25">
      <c r="A47" s="585"/>
      <c r="B47" s="586"/>
      <c r="C47" s="5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148"/>
      <c r="R47" s="8"/>
      <c r="S47" s="5"/>
    </row>
    <row r="48" spans="1:19" s="9" customFormat="1" ht="15" customHeight="1" x14ac:dyDescent="0.25">
      <c r="A48" s="585"/>
      <c r="B48" s="586"/>
      <c r="C48" s="5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148"/>
      <c r="R48" s="8"/>
      <c r="S48" s="5"/>
    </row>
    <row r="49" spans="1:19" s="9" customFormat="1" ht="15" customHeight="1" x14ac:dyDescent="0.25">
      <c r="A49" s="585"/>
      <c r="B49" s="586"/>
      <c r="C49" s="5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12315758590.394199</v>
      </c>
      <c r="N49" s="56">
        <f>SUMIF($I$5:$I$45,I49,$N$5:$N$45)</f>
        <v>3583254067.7850084</v>
      </c>
      <c r="O49" s="56">
        <f>SUMIF($I$5:$I$45,I49,$O$5:$O$45)</f>
        <v>19543491052.605801</v>
      </c>
      <c r="P49" s="149"/>
      <c r="Q49" s="149"/>
      <c r="R49" s="8"/>
      <c r="S49" s="5"/>
    </row>
    <row r="50" spans="1:19" s="9" customFormat="1" ht="15" customHeight="1" thickBot="1" x14ac:dyDescent="0.3">
      <c r="A50" s="588"/>
      <c r="B50" s="589"/>
      <c r="C50" s="590"/>
      <c r="D50" s="57"/>
      <c r="E50" s="57"/>
      <c r="F50" s="57"/>
      <c r="G50" s="302"/>
      <c r="H50" s="303"/>
      <c r="I50" s="304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150"/>
      <c r="R50" s="8"/>
      <c r="S50" s="5"/>
    </row>
    <row r="51" spans="1:19" ht="96.75" customHeight="1" outlineLevel="1" x14ac:dyDescent="0.25">
      <c r="A51" s="371">
        <v>28</v>
      </c>
      <c r="B51" s="390" t="s">
        <v>116</v>
      </c>
      <c r="C51" s="373" t="s">
        <v>117</v>
      </c>
      <c r="D51" s="374" t="s">
        <v>118</v>
      </c>
      <c r="E51" s="376" t="s">
        <v>529</v>
      </c>
      <c r="F51" s="374" t="s">
        <v>497</v>
      </c>
      <c r="G51" s="376" t="s">
        <v>324</v>
      </c>
      <c r="H51" s="376" t="s">
        <v>119</v>
      </c>
      <c r="I51" s="31" t="s">
        <v>29</v>
      </c>
      <c r="J51" s="402">
        <v>5000000</v>
      </c>
      <c r="K51" s="402">
        <v>5000000</v>
      </c>
      <c r="L51" s="385" t="s">
        <v>120</v>
      </c>
      <c r="M51" s="402">
        <f>4166666.69+208333.33+88124985.9/423+87866652.7/421.76</f>
        <v>4791666.6202181326</v>
      </c>
      <c r="N51" s="402">
        <f>553011.29+6019459.2/423+4555355.1/421.76</f>
        <v>578042.51297989383</v>
      </c>
      <c r="O51" s="402">
        <f t="shared" ref="O51:O56" si="2">K51-M51</f>
        <v>208333.37978186738</v>
      </c>
      <c r="P51" s="379" t="s">
        <v>76</v>
      </c>
      <c r="Q51" s="379" t="s">
        <v>498</v>
      </c>
      <c r="S51" s="5"/>
    </row>
    <row r="52" spans="1:19" ht="86.25" customHeight="1" outlineLevel="1" x14ac:dyDescent="0.25">
      <c r="A52" s="380">
        <v>29</v>
      </c>
      <c r="B52" s="389" t="s">
        <v>121</v>
      </c>
      <c r="C52" s="381" t="s">
        <v>122</v>
      </c>
      <c r="D52" s="383" t="s">
        <v>118</v>
      </c>
      <c r="E52" s="376" t="s">
        <v>530</v>
      </c>
      <c r="F52" s="383" t="s">
        <v>497</v>
      </c>
      <c r="G52" s="382" t="s">
        <v>325</v>
      </c>
      <c r="H52" s="382" t="s">
        <v>123</v>
      </c>
      <c r="I52" s="405" t="s">
        <v>29</v>
      </c>
      <c r="J52" s="412">
        <v>5000000</v>
      </c>
      <c r="K52" s="412">
        <v>5000000</v>
      </c>
      <c r="L52" s="384" t="s">
        <v>120</v>
      </c>
      <c r="M52" s="412">
        <f>3125000+208333.33+88124985.9/423+87866652.7/421.76</f>
        <v>3749999.9302181336</v>
      </c>
      <c r="N52" s="412">
        <f>320254.8+16091046.9/423+15943700.8/421.76</f>
        <v>396097.88072837633</v>
      </c>
      <c r="O52" s="412">
        <f t="shared" si="2"/>
        <v>1250000.0697818664</v>
      </c>
      <c r="P52" s="521" t="s">
        <v>76</v>
      </c>
      <c r="Q52" s="381" t="s">
        <v>498</v>
      </c>
      <c r="S52" s="5"/>
    </row>
    <row r="53" spans="1:19" ht="84.75" customHeight="1" outlineLevel="1" x14ac:dyDescent="0.25">
      <c r="A53" s="380">
        <v>30</v>
      </c>
      <c r="B53" s="389" t="s">
        <v>121</v>
      </c>
      <c r="C53" s="381"/>
      <c r="D53" s="383" t="s">
        <v>463</v>
      </c>
      <c r="E53" s="375"/>
      <c r="F53" s="383" t="s">
        <v>499</v>
      </c>
      <c r="G53" s="382"/>
      <c r="H53" s="382"/>
      <c r="I53" s="47" t="s">
        <v>2</v>
      </c>
      <c r="J53" s="412"/>
      <c r="K53" s="412">
        <v>66094595</v>
      </c>
      <c r="L53" s="384" t="s">
        <v>120</v>
      </c>
      <c r="M53" s="412">
        <f>6609471.44+6609433.4+6609473.7+6609459.5</f>
        <v>26437838.039999999</v>
      </c>
      <c r="N53" s="412">
        <f>1088882.59773529+1190830.4+1204391.2</f>
        <v>3484104.19773529</v>
      </c>
      <c r="O53" s="412">
        <f t="shared" si="2"/>
        <v>39656756.960000001</v>
      </c>
      <c r="P53" s="528"/>
      <c r="Q53" s="373" t="s">
        <v>498</v>
      </c>
      <c r="S53" s="5"/>
    </row>
    <row r="54" spans="1:19" ht="89.25" customHeight="1" outlineLevel="1" x14ac:dyDescent="0.25">
      <c r="A54" s="372">
        <v>31</v>
      </c>
      <c r="B54" s="398" t="s">
        <v>124</v>
      </c>
      <c r="C54" s="399" t="s">
        <v>125</v>
      </c>
      <c r="D54" s="375" t="s">
        <v>126</v>
      </c>
      <c r="E54" s="377" t="s">
        <v>531</v>
      </c>
      <c r="F54" s="375" t="s">
        <v>497</v>
      </c>
      <c r="G54" s="377" t="s">
        <v>326</v>
      </c>
      <c r="H54" s="377" t="s">
        <v>127</v>
      </c>
      <c r="I54" s="405" t="s">
        <v>29</v>
      </c>
      <c r="J54" s="412">
        <v>5000000</v>
      </c>
      <c r="K54" s="412">
        <v>5000000</v>
      </c>
      <c r="L54" s="411" t="s">
        <v>120</v>
      </c>
      <c r="M54" s="412">
        <f>3227272.74+97124988.4/427.35+96136352.1/423+95854533.9/421.76</f>
        <v>3909090.8400054076</v>
      </c>
      <c r="N54" s="412">
        <f>475298.336411511+13707853.3/421.76</f>
        <v>507799.88539671584</v>
      </c>
      <c r="O54" s="412">
        <f t="shared" si="2"/>
        <v>1090909.1599945924</v>
      </c>
      <c r="P54" s="140" t="s">
        <v>76</v>
      </c>
      <c r="Q54" s="140" t="s">
        <v>498</v>
      </c>
      <c r="S54" s="5"/>
    </row>
    <row r="55" spans="1:19" ht="57" customHeight="1" outlineLevel="1" x14ac:dyDescent="0.25">
      <c r="A55" s="532">
        <v>32</v>
      </c>
      <c r="B55" s="389" t="s">
        <v>128</v>
      </c>
      <c r="C55" s="521" t="s">
        <v>129</v>
      </c>
      <c r="D55" s="383" t="s">
        <v>126</v>
      </c>
      <c r="E55" s="377" t="s">
        <v>532</v>
      </c>
      <c r="F55" s="383" t="s">
        <v>497</v>
      </c>
      <c r="G55" s="382" t="s">
        <v>327</v>
      </c>
      <c r="H55" s="382" t="s">
        <v>130</v>
      </c>
      <c r="I55" s="47" t="s">
        <v>29</v>
      </c>
      <c r="J55" s="401">
        <v>5000000</v>
      </c>
      <c r="K55" s="412">
        <v>3000000</v>
      </c>
      <c r="L55" s="45" t="s">
        <v>279</v>
      </c>
      <c r="M55" s="412">
        <f>676724.137931034+46797420.6/423+46660236.7/421.76</f>
        <v>897988.53799742239</v>
      </c>
      <c r="N55" s="412">
        <f>222742.9+6254858.7/423+5914494.4/421.76</f>
        <v>251553.16494688921</v>
      </c>
      <c r="O55" s="401">
        <f t="shared" si="2"/>
        <v>2102011.4620025777</v>
      </c>
      <c r="P55" s="521" t="s">
        <v>76</v>
      </c>
      <c r="Q55" s="378" t="s">
        <v>498</v>
      </c>
      <c r="S55" s="5"/>
    </row>
    <row r="56" spans="1:19" ht="57" customHeight="1" outlineLevel="1" thickBot="1" x14ac:dyDescent="0.3">
      <c r="A56" s="536"/>
      <c r="B56" s="389" t="s">
        <v>128</v>
      </c>
      <c r="C56" s="538"/>
      <c r="D56" s="383" t="s">
        <v>463</v>
      </c>
      <c r="E56" s="383"/>
      <c r="F56" s="383" t="s">
        <v>499</v>
      </c>
      <c r="G56" s="382" t="s">
        <v>327</v>
      </c>
      <c r="H56" s="382" t="s">
        <v>266</v>
      </c>
      <c r="I56" s="47" t="s">
        <v>2</v>
      </c>
      <c r="J56" s="401"/>
      <c r="K56" s="412">
        <v>100836059.51000001</v>
      </c>
      <c r="L56" s="45">
        <v>1.404E-2</v>
      </c>
      <c r="M56" s="412">
        <f>9751561.92837819+3148517+4073473.9</f>
        <v>16973552.828378189</v>
      </c>
      <c r="N56" s="412">
        <f>1328413.8+491137.6+435674.1</f>
        <v>2255225.5</v>
      </c>
      <c r="O56" s="401">
        <f t="shared" si="2"/>
        <v>83862506.68162182</v>
      </c>
      <c r="P56" s="538"/>
      <c r="Q56" s="407" t="s">
        <v>498</v>
      </c>
      <c r="S56" s="5"/>
    </row>
    <row r="57" spans="1:19" s="9" customFormat="1" ht="15" customHeight="1" x14ac:dyDescent="0.25">
      <c r="A57" s="591" t="s">
        <v>131</v>
      </c>
      <c r="B57" s="592"/>
      <c r="C57" s="593"/>
      <c r="D57" s="305"/>
      <c r="E57" s="305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152"/>
      <c r="R57" s="8"/>
      <c r="S57" s="5"/>
    </row>
    <row r="58" spans="1:19" s="9" customFormat="1" ht="15" customHeight="1" x14ac:dyDescent="0.25">
      <c r="A58" s="585"/>
      <c r="B58" s="586"/>
      <c r="C58" s="5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148"/>
      <c r="R58" s="8"/>
      <c r="S58" s="5"/>
    </row>
    <row r="59" spans="1:19" s="9" customFormat="1" ht="15" customHeight="1" x14ac:dyDescent="0.25">
      <c r="A59" s="585"/>
      <c r="B59" s="586"/>
      <c r="C59" s="5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148"/>
      <c r="R59" s="8"/>
      <c r="S59" s="5"/>
    </row>
    <row r="60" spans="1:19" s="9" customFormat="1" ht="15" customHeight="1" thickBot="1" x14ac:dyDescent="0.3">
      <c r="A60" s="588"/>
      <c r="B60" s="589"/>
      <c r="C60" s="590"/>
      <c r="D60" s="306"/>
      <c r="E60" s="306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150"/>
      <c r="R60" s="8"/>
      <c r="S60" s="5"/>
    </row>
    <row r="61" spans="1:19" s="2" customFormat="1" ht="91.5" customHeight="1" outlineLevel="1" x14ac:dyDescent="0.25">
      <c r="A61" s="372">
        <v>33</v>
      </c>
      <c r="B61" s="399" t="s">
        <v>132</v>
      </c>
      <c r="C61" s="399" t="s">
        <v>133</v>
      </c>
      <c r="D61" s="373" t="s">
        <v>473</v>
      </c>
      <c r="E61" s="373"/>
      <c r="F61" s="375" t="s">
        <v>441</v>
      </c>
      <c r="G61" s="58" t="s">
        <v>328</v>
      </c>
      <c r="H61" s="399" t="s">
        <v>134</v>
      </c>
      <c r="I61" s="399" t="s">
        <v>2</v>
      </c>
      <c r="J61" s="412">
        <v>74000000000</v>
      </c>
      <c r="K61" s="412">
        <v>74000000000</v>
      </c>
      <c r="L61" s="411" t="s">
        <v>135</v>
      </c>
      <c r="M61" s="41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12">
        <f>27971909177.5+338144.2+498915.4+526901.3+642474.8+795979.5+10421637.5+86178.9+156588.3</f>
        <v>27985375997.400002</v>
      </c>
      <c r="O61" s="386">
        <f>K61-M61</f>
        <v>8809523809.2999802</v>
      </c>
      <c r="P61" s="140" t="s">
        <v>76</v>
      </c>
      <c r="Q61" s="140" t="s">
        <v>498</v>
      </c>
      <c r="R61" s="1"/>
      <c r="S61" s="5"/>
    </row>
    <row r="62" spans="1:19" s="2" customFormat="1" ht="91.5" customHeight="1" outlineLevel="1" x14ac:dyDescent="0.25">
      <c r="A62" s="372">
        <v>34</v>
      </c>
      <c r="B62" s="399" t="s">
        <v>132</v>
      </c>
      <c r="C62" s="399" t="s">
        <v>136</v>
      </c>
      <c r="D62" s="399" t="s">
        <v>27</v>
      </c>
      <c r="E62" s="399"/>
      <c r="F62" s="375" t="s">
        <v>441</v>
      </c>
      <c r="G62" s="58" t="s">
        <v>329</v>
      </c>
      <c r="H62" s="399" t="s">
        <v>137</v>
      </c>
      <c r="I62" s="399" t="s">
        <v>2</v>
      </c>
      <c r="J62" s="412">
        <v>2035890300</v>
      </c>
      <c r="K62" s="412">
        <v>2035890300</v>
      </c>
      <c r="L62" s="411" t="s">
        <v>44</v>
      </c>
      <c r="M62" s="412">
        <v>0</v>
      </c>
      <c r="N62" s="412">
        <v>0</v>
      </c>
      <c r="O62" s="386">
        <f t="shared" ref="O62:O67" si="3">K62-M62</f>
        <v>2035890300</v>
      </c>
      <c r="P62" s="140" t="s">
        <v>76</v>
      </c>
      <c r="Q62" s="140" t="s">
        <v>498</v>
      </c>
      <c r="R62" s="1"/>
      <c r="S62" s="5"/>
    </row>
    <row r="63" spans="1:19" ht="81" outlineLevel="1" x14ac:dyDescent="0.25">
      <c r="A63" s="371">
        <v>35</v>
      </c>
      <c r="B63" s="398" t="s">
        <v>138</v>
      </c>
      <c r="C63" s="399" t="s">
        <v>139</v>
      </c>
      <c r="D63" s="375" t="s">
        <v>27</v>
      </c>
      <c r="E63" s="375" t="s">
        <v>511</v>
      </c>
      <c r="F63" s="375"/>
      <c r="G63" s="428" t="s">
        <v>330</v>
      </c>
      <c r="H63" s="375" t="s">
        <v>140</v>
      </c>
      <c r="I63" s="405" t="s">
        <v>29</v>
      </c>
      <c r="J63" s="412">
        <v>3500000</v>
      </c>
      <c r="K63" s="412">
        <v>3500000</v>
      </c>
      <c r="L63" s="411">
        <v>7.4999999999999997E-3</v>
      </c>
      <c r="M63" s="412">
        <f>696000+31440060/542.07+58000+24255020/418.19+24400600/420.7+25920780/446.91+24152360/416.42</f>
        <v>1044000</v>
      </c>
      <c r="N63" s="412">
        <f>399592.922231146+10515+10297.5+4215355.2/418.19+4149153.8/420.7+4310447/446.91+3925799.6/416.42</f>
        <v>459420.42258194601</v>
      </c>
      <c r="O63" s="386">
        <f t="shared" si="3"/>
        <v>2456000</v>
      </c>
      <c r="P63" s="140" t="s">
        <v>76</v>
      </c>
      <c r="Q63" s="140"/>
      <c r="S63" s="5"/>
    </row>
    <row r="64" spans="1:19" ht="128.25" customHeight="1" outlineLevel="1" x14ac:dyDescent="0.25">
      <c r="A64" s="372">
        <v>36</v>
      </c>
      <c r="B64" s="398" t="s">
        <v>141</v>
      </c>
      <c r="C64" s="399" t="s">
        <v>142</v>
      </c>
      <c r="D64" s="399" t="s">
        <v>143</v>
      </c>
      <c r="E64" s="399"/>
      <c r="F64" s="375" t="s">
        <v>441</v>
      </c>
      <c r="G64" s="387" t="s">
        <v>331</v>
      </c>
      <c r="H64" s="375" t="s">
        <v>144</v>
      </c>
      <c r="I64" s="405" t="s">
        <v>51</v>
      </c>
      <c r="J64" s="386">
        <v>1689937.9</v>
      </c>
      <c r="K64" s="412">
        <v>1689937.9</v>
      </c>
      <c r="L64" s="400">
        <v>5.9900000000000002E-2</v>
      </c>
      <c r="M64" s="412">
        <f>872805.23+28165+28165+28165</f>
        <v>957300.23</v>
      </c>
      <c r="N64" s="412">
        <f>1964862.47+25588.58+24871.58+24276.42</f>
        <v>2039599.05</v>
      </c>
      <c r="O64" s="386">
        <f t="shared" si="3"/>
        <v>732637.66999999993</v>
      </c>
      <c r="P64" s="142" t="s">
        <v>76</v>
      </c>
      <c r="Q64" s="142" t="s">
        <v>498</v>
      </c>
      <c r="S64" s="5"/>
    </row>
    <row r="65" spans="1:19" ht="98.25" customHeight="1" outlineLevel="1" x14ac:dyDescent="0.25">
      <c r="A65" s="371">
        <v>37</v>
      </c>
      <c r="B65" s="398" t="s">
        <v>145</v>
      </c>
      <c r="C65" s="399" t="s">
        <v>146</v>
      </c>
      <c r="D65" s="399" t="s">
        <v>143</v>
      </c>
      <c r="E65" s="399"/>
      <c r="F65" s="375" t="s">
        <v>441</v>
      </c>
      <c r="G65" s="387" t="s">
        <v>332</v>
      </c>
      <c r="H65" s="375" t="s">
        <v>147</v>
      </c>
      <c r="I65" s="405" t="s">
        <v>51</v>
      </c>
      <c r="J65" s="386">
        <v>2828000</v>
      </c>
      <c r="K65" s="412">
        <v>2828000</v>
      </c>
      <c r="L65" s="400">
        <v>5.9900000000000002E-2</v>
      </c>
      <c r="M65" s="386">
        <f>1128831.5+47000+47000</f>
        <v>1222831.5</v>
      </c>
      <c r="N65" s="412">
        <f>1731608.85+50775.51+49371.71</f>
        <v>1831756.07</v>
      </c>
      <c r="O65" s="386">
        <f t="shared" si="3"/>
        <v>1605168.5</v>
      </c>
      <c r="P65" s="142" t="s">
        <v>76</v>
      </c>
      <c r="Q65" s="142" t="s">
        <v>498</v>
      </c>
      <c r="S65" s="5"/>
    </row>
    <row r="66" spans="1:19" s="4" customFormat="1" ht="140.25" customHeight="1" outlineLevel="1" x14ac:dyDescent="0.25">
      <c r="A66" s="372">
        <v>38</v>
      </c>
      <c r="B66" s="398" t="s">
        <v>148</v>
      </c>
      <c r="C66" s="399" t="s">
        <v>149</v>
      </c>
      <c r="D66" s="399" t="s">
        <v>143</v>
      </c>
      <c r="E66" s="399"/>
      <c r="F66" s="375" t="s">
        <v>441</v>
      </c>
      <c r="G66" s="375" t="s">
        <v>333</v>
      </c>
      <c r="H66" s="375" t="s">
        <v>150</v>
      </c>
      <c r="I66" s="399" t="s">
        <v>2</v>
      </c>
      <c r="J66" s="60">
        <v>2092000000</v>
      </c>
      <c r="K66" s="412">
        <v>2092000000</v>
      </c>
      <c r="L66" s="61">
        <v>0.02</v>
      </c>
      <c r="M66" s="412">
        <f>354576270+35457627.1+35457627+35457627+35457627</f>
        <v>496406778.10000002</v>
      </c>
      <c r="N66" s="412">
        <f>426427783.87+17517039.3+16879773.4+16802058.1+16265822.2</f>
        <v>493892476.87</v>
      </c>
      <c r="O66" s="386">
        <f t="shared" si="3"/>
        <v>1595593221.9000001</v>
      </c>
      <c r="P66" s="142" t="s">
        <v>76</v>
      </c>
      <c r="Q66" s="142" t="s">
        <v>498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7">
        <v>2187306400</v>
      </c>
      <c r="K67" s="307">
        <v>2187306400</v>
      </c>
      <c r="L67" s="308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195" t="s">
        <v>498</v>
      </c>
      <c r="R67" s="3"/>
      <c r="S67" s="5"/>
    </row>
    <row r="68" spans="1:19" s="9" customFormat="1" ht="15" customHeight="1" x14ac:dyDescent="0.25">
      <c r="A68" s="585" t="s">
        <v>153</v>
      </c>
      <c r="B68" s="586"/>
      <c r="C68" s="587"/>
      <c r="D68" s="309"/>
      <c r="E68" s="309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152"/>
      <c r="R68" s="8"/>
      <c r="S68" s="5"/>
    </row>
    <row r="69" spans="1:19" s="9" customFormat="1" ht="15" customHeight="1" x14ac:dyDescent="0.25">
      <c r="A69" s="585"/>
      <c r="B69" s="586"/>
      <c r="C69" s="5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28835476344.77</v>
      </c>
      <c r="O69" s="11">
        <f>SUMIF($I$61:$I$67,I69,$O$61:$O$67)</f>
        <v>14628313731.19998</v>
      </c>
      <c r="P69" s="148"/>
      <c r="Q69" s="148"/>
      <c r="R69" s="8"/>
      <c r="S69" s="5"/>
    </row>
    <row r="70" spans="1:19" s="9" customFormat="1" ht="15" customHeight="1" x14ac:dyDescent="0.25">
      <c r="A70" s="585"/>
      <c r="B70" s="586"/>
      <c r="C70" s="5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148"/>
      <c r="R70" s="8"/>
      <c r="S70" s="5"/>
    </row>
    <row r="71" spans="1:19" s="9" customFormat="1" ht="15" customHeight="1" thickBot="1" x14ac:dyDescent="0.3">
      <c r="A71" s="588"/>
      <c r="B71" s="589"/>
      <c r="C71" s="590"/>
      <c r="D71" s="306"/>
      <c r="E71" s="306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150"/>
      <c r="R71" s="8"/>
      <c r="S71" s="5"/>
    </row>
    <row r="72" spans="1:19" s="2" customFormat="1" ht="77.25" customHeight="1" outlineLevel="1" x14ac:dyDescent="0.25">
      <c r="A72" s="372">
        <v>40</v>
      </c>
      <c r="B72" s="398" t="s">
        <v>154</v>
      </c>
      <c r="C72" s="399" t="s">
        <v>155</v>
      </c>
      <c r="D72" s="373" t="s">
        <v>93</v>
      </c>
      <c r="E72" s="373"/>
      <c r="F72" s="374" t="s">
        <v>500</v>
      </c>
      <c r="G72" s="373" t="s">
        <v>335</v>
      </c>
      <c r="H72" s="399" t="s">
        <v>156</v>
      </c>
      <c r="I72" s="405" t="s">
        <v>51</v>
      </c>
      <c r="J72" s="412">
        <v>361332</v>
      </c>
      <c r="K72" s="412">
        <v>361332</v>
      </c>
      <c r="L72" s="411">
        <v>7.7700000000000005E-2</v>
      </c>
      <c r="M72" s="412">
        <f>219031+1000000/388.24</f>
        <v>221606.72635483206</v>
      </c>
      <c r="N72" s="412">
        <f>187530</f>
        <v>187530</v>
      </c>
      <c r="O72" s="386">
        <f>K72-M72</f>
        <v>139725.27364516794</v>
      </c>
      <c r="P72" s="140" t="s">
        <v>157</v>
      </c>
      <c r="Q72" s="379"/>
      <c r="R72" s="1"/>
      <c r="S72" s="5"/>
    </row>
    <row r="73" spans="1:19" ht="64.5" customHeight="1" outlineLevel="1" x14ac:dyDescent="0.25">
      <c r="A73" s="372">
        <v>41</v>
      </c>
      <c r="B73" s="398" t="s">
        <v>158</v>
      </c>
      <c r="C73" s="399" t="s">
        <v>159</v>
      </c>
      <c r="D73" s="383" t="s">
        <v>118</v>
      </c>
      <c r="E73" s="383"/>
      <c r="F73" s="383" t="s">
        <v>497</v>
      </c>
      <c r="G73" s="377" t="s">
        <v>336</v>
      </c>
      <c r="H73" s="412" t="s">
        <v>160</v>
      </c>
      <c r="I73" s="405" t="s">
        <v>29</v>
      </c>
      <c r="J73" s="412">
        <v>8000000</v>
      </c>
      <c r="K73" s="412">
        <v>80000</v>
      </c>
      <c r="L73" s="411" t="s">
        <v>44</v>
      </c>
      <c r="M73" s="412">
        <f>10909.09+3636.36+3636.36+1428217/392.76+1554016/427.35+3636.4+3632.85</f>
        <v>32723.821703756206</v>
      </c>
      <c r="N73" s="412">
        <f>105386.95+361.72+42360.02+4761284/392.76+5116448/427.35+12019.8+11989.6</f>
        <v>196213.21988818215</v>
      </c>
      <c r="O73" s="386">
        <f>K73-M73</f>
        <v>47276.178296243794</v>
      </c>
      <c r="P73" s="140" t="s">
        <v>161</v>
      </c>
      <c r="Q73" s="140" t="s">
        <v>498</v>
      </c>
      <c r="S73" s="5"/>
    </row>
    <row r="74" spans="1:19" ht="63" customHeight="1" outlineLevel="1" x14ac:dyDescent="0.25">
      <c r="A74" s="372">
        <v>42</v>
      </c>
      <c r="B74" s="398" t="s">
        <v>158</v>
      </c>
      <c r="C74" s="399" t="s">
        <v>162</v>
      </c>
      <c r="D74" s="383" t="s">
        <v>126</v>
      </c>
      <c r="E74" s="383"/>
      <c r="F74" s="383" t="s">
        <v>497</v>
      </c>
      <c r="G74" s="377" t="s">
        <v>337</v>
      </c>
      <c r="H74" s="412" t="s">
        <v>160</v>
      </c>
      <c r="I74" s="405" t="s">
        <v>29</v>
      </c>
      <c r="J74" s="412">
        <v>8000000</v>
      </c>
      <c r="K74" s="412"/>
      <c r="L74" s="411" t="s">
        <v>44</v>
      </c>
      <c r="M74" s="412"/>
      <c r="N74" s="412"/>
      <c r="O74" s="386">
        <f>K74-M74</f>
        <v>0</v>
      </c>
      <c r="P74" s="140" t="s">
        <v>161</v>
      </c>
      <c r="Q74" s="140" t="s">
        <v>498</v>
      </c>
      <c r="S74" s="5"/>
    </row>
    <row r="75" spans="1:19" ht="71.25" customHeight="1" outlineLevel="1" x14ac:dyDescent="0.25">
      <c r="A75" s="532">
        <v>43</v>
      </c>
      <c r="B75" s="534" t="s">
        <v>163</v>
      </c>
      <c r="C75" s="521" t="s">
        <v>264</v>
      </c>
      <c r="D75" s="383" t="s">
        <v>118</v>
      </c>
      <c r="E75" s="383"/>
      <c r="F75" s="383" t="s">
        <v>497</v>
      </c>
      <c r="G75" s="377" t="s">
        <v>338</v>
      </c>
      <c r="H75" s="521" t="s">
        <v>281</v>
      </c>
      <c r="I75" s="405" t="s">
        <v>29</v>
      </c>
      <c r="J75" s="412">
        <v>5500000</v>
      </c>
      <c r="K75" s="412">
        <f>1384955.78+492272.39+301757.1+219245.55+25340.75+40551.45</f>
        <v>2464123.02</v>
      </c>
      <c r="L75" s="411" t="s">
        <v>44</v>
      </c>
      <c r="M75" s="412"/>
      <c r="N75" s="412"/>
      <c r="O75" s="386">
        <f t="shared" ref="O75:O97" si="4">K75-M75</f>
        <v>2464123.02</v>
      </c>
      <c r="P75" s="140" t="s">
        <v>76</v>
      </c>
      <c r="Q75" s="140" t="s">
        <v>501</v>
      </c>
      <c r="S75" s="5"/>
    </row>
    <row r="76" spans="1:19" ht="74.25" customHeight="1" outlineLevel="1" x14ac:dyDescent="0.25">
      <c r="A76" s="533"/>
      <c r="B76" s="527"/>
      <c r="C76" s="528"/>
      <c r="D76" s="383" t="s">
        <v>463</v>
      </c>
      <c r="E76" s="383"/>
      <c r="F76" s="383" t="s">
        <v>499</v>
      </c>
      <c r="G76" s="377"/>
      <c r="H76" s="528"/>
      <c r="I76" s="375" t="s">
        <v>2</v>
      </c>
      <c r="J76" s="412">
        <v>92733053.200000003</v>
      </c>
      <c r="K76" s="412">
        <f>92733053.2+20276600+1679251+16492341.9+20399976.4+42969092+26833268.5</f>
        <v>221383583</v>
      </c>
      <c r="L76" s="411"/>
      <c r="M76" s="412"/>
      <c r="N76" s="412"/>
      <c r="O76" s="386">
        <f t="shared" si="4"/>
        <v>221383583</v>
      </c>
      <c r="P76" s="140"/>
      <c r="Q76" s="140" t="s">
        <v>501</v>
      </c>
      <c r="S76" s="5"/>
    </row>
    <row r="77" spans="1:19" ht="80.25" customHeight="1" outlineLevel="1" x14ac:dyDescent="0.25">
      <c r="A77" s="372">
        <v>44</v>
      </c>
      <c r="B77" s="398" t="s">
        <v>164</v>
      </c>
      <c r="C77" s="399" t="s">
        <v>165</v>
      </c>
      <c r="D77" s="399" t="s">
        <v>463</v>
      </c>
      <c r="E77" s="399"/>
      <c r="F77" s="375"/>
      <c r="G77" s="377" t="s">
        <v>339</v>
      </c>
      <c r="H77" s="412" t="s">
        <v>166</v>
      </c>
      <c r="I77" s="375" t="s">
        <v>2</v>
      </c>
      <c r="J77" s="412">
        <v>249300000</v>
      </c>
      <c r="K77" s="412">
        <v>249300000</v>
      </c>
      <c r="L77" s="413">
        <v>1E-3</v>
      </c>
      <c r="M77" s="412">
        <f>42881892.9</f>
        <v>42881892.899999999</v>
      </c>
      <c r="N77" s="412">
        <f>528153.5</f>
        <v>528153.5</v>
      </c>
      <c r="O77" s="386">
        <f t="shared" si="4"/>
        <v>206418107.09999999</v>
      </c>
      <c r="P77" s="140" t="s">
        <v>76</v>
      </c>
      <c r="Q77" s="140"/>
      <c r="S77" s="5"/>
    </row>
    <row r="78" spans="1:19" ht="148.5" outlineLevel="1" x14ac:dyDescent="0.25">
      <c r="A78" s="372">
        <v>45</v>
      </c>
      <c r="B78" s="389" t="s">
        <v>107</v>
      </c>
      <c r="C78" s="381" t="s">
        <v>108</v>
      </c>
      <c r="D78" s="383" t="s">
        <v>101</v>
      </c>
      <c r="E78" s="383"/>
      <c r="F78" s="383"/>
      <c r="G78" s="382" t="s">
        <v>340</v>
      </c>
      <c r="H78" s="401" t="s">
        <v>109</v>
      </c>
      <c r="I78" s="405" t="s">
        <v>51</v>
      </c>
      <c r="J78" s="412">
        <v>4000000</v>
      </c>
      <c r="K78" s="412">
        <v>869162.07</v>
      </c>
      <c r="L78" s="411" t="s">
        <v>44</v>
      </c>
      <c r="M78" s="412">
        <f>465353.9+34986668/397.71+41212635/391.46</f>
        <v>658603.5005344206</v>
      </c>
      <c r="N78" s="412">
        <f>188098.2+7483550/397.71+8032446/391.46</f>
        <v>227433.99995345628</v>
      </c>
      <c r="O78" s="394">
        <f>K78-M78</f>
        <v>210558.56946557935</v>
      </c>
      <c r="P78" s="381" t="s">
        <v>110</v>
      </c>
      <c r="Q78" s="381" t="s">
        <v>498</v>
      </c>
      <c r="S78" s="5"/>
    </row>
    <row r="79" spans="1:19" s="4" customFormat="1" ht="27" outlineLevel="1" x14ac:dyDescent="0.25">
      <c r="A79" s="372">
        <v>46</v>
      </c>
      <c r="B79" s="398" t="s">
        <v>167</v>
      </c>
      <c r="C79" s="399" t="s">
        <v>133</v>
      </c>
      <c r="D79" s="375" t="s">
        <v>473</v>
      </c>
      <c r="E79" s="375"/>
      <c r="F79" s="375" t="s">
        <v>441</v>
      </c>
      <c r="G79" s="375" t="s">
        <v>341</v>
      </c>
      <c r="H79" s="375" t="s">
        <v>291</v>
      </c>
      <c r="I79" s="375" t="s">
        <v>2</v>
      </c>
      <c r="J79" s="60">
        <v>50600000</v>
      </c>
      <c r="K79" s="412">
        <v>50600000</v>
      </c>
      <c r="L79" s="398" t="s">
        <v>168</v>
      </c>
      <c r="M79" s="412"/>
      <c r="N79" s="412"/>
      <c r="O79" s="60">
        <f t="shared" si="4"/>
        <v>50600000</v>
      </c>
      <c r="P79" s="140" t="s">
        <v>76</v>
      </c>
      <c r="Q79" s="140" t="s">
        <v>501</v>
      </c>
      <c r="R79" s="3"/>
      <c r="S79" s="5"/>
    </row>
    <row r="80" spans="1:19" s="4" customFormat="1" ht="40.5" customHeight="1" outlineLevel="1" x14ac:dyDescent="0.25">
      <c r="A80" s="372">
        <v>47</v>
      </c>
      <c r="B80" s="398" t="s">
        <v>167</v>
      </c>
      <c r="C80" s="399" t="s">
        <v>133</v>
      </c>
      <c r="D80" s="375" t="s">
        <v>473</v>
      </c>
      <c r="E80" s="375"/>
      <c r="F80" s="375" t="s">
        <v>441</v>
      </c>
      <c r="G80" s="375" t="s">
        <v>342</v>
      </c>
      <c r="H80" s="375" t="s">
        <v>292</v>
      </c>
      <c r="I80" s="399" t="s">
        <v>2</v>
      </c>
      <c r="J80" s="60">
        <v>1100000000</v>
      </c>
      <c r="K80" s="412">
        <v>1100000000</v>
      </c>
      <c r="L80" s="398" t="s">
        <v>168</v>
      </c>
      <c r="M80" s="412"/>
      <c r="N80" s="412"/>
      <c r="O80" s="60">
        <f t="shared" si="4"/>
        <v>1100000000</v>
      </c>
      <c r="P80" s="534" t="s">
        <v>267</v>
      </c>
      <c r="Q80" s="389" t="s">
        <v>501</v>
      </c>
      <c r="R80" s="3"/>
      <c r="S80" s="5"/>
    </row>
    <row r="81" spans="1:19" s="4" customFormat="1" ht="27" outlineLevel="1" x14ac:dyDescent="0.25">
      <c r="A81" s="372">
        <v>48</v>
      </c>
      <c r="B81" s="398" t="s">
        <v>167</v>
      </c>
      <c r="C81" s="399" t="s">
        <v>133</v>
      </c>
      <c r="D81" s="375" t="s">
        <v>473</v>
      </c>
      <c r="E81" s="375"/>
      <c r="F81" s="375" t="s">
        <v>441</v>
      </c>
      <c r="G81" s="375" t="s">
        <v>343</v>
      </c>
      <c r="H81" s="375" t="s">
        <v>293</v>
      </c>
      <c r="I81" s="399" t="s">
        <v>2</v>
      </c>
      <c r="J81" s="60">
        <v>792386600</v>
      </c>
      <c r="K81" s="412">
        <v>791031693</v>
      </c>
      <c r="L81" s="398" t="s">
        <v>168</v>
      </c>
      <c r="M81" s="412"/>
      <c r="N81" s="412"/>
      <c r="O81" s="60">
        <f t="shared" si="4"/>
        <v>791031693</v>
      </c>
      <c r="P81" s="526"/>
      <c r="Q81" s="404" t="s">
        <v>501</v>
      </c>
      <c r="R81" s="3"/>
      <c r="S81" s="5"/>
    </row>
    <row r="82" spans="1:19" s="4" customFormat="1" ht="27" outlineLevel="1" x14ac:dyDescent="0.25">
      <c r="A82" s="372">
        <v>49</v>
      </c>
      <c r="B82" s="398" t="s">
        <v>167</v>
      </c>
      <c r="C82" s="399" t="s">
        <v>133</v>
      </c>
      <c r="D82" s="375" t="s">
        <v>473</v>
      </c>
      <c r="E82" s="375"/>
      <c r="F82" s="375" t="s">
        <v>441</v>
      </c>
      <c r="G82" s="375" t="s">
        <v>344</v>
      </c>
      <c r="H82" s="375" t="s">
        <v>294</v>
      </c>
      <c r="I82" s="399" t="s">
        <v>2</v>
      </c>
      <c r="J82" s="60">
        <v>254672300</v>
      </c>
      <c r="K82" s="412">
        <f>168444408+75498000+5196300+5196300</f>
        <v>254335008</v>
      </c>
      <c r="L82" s="398" t="s">
        <v>168</v>
      </c>
      <c r="M82" s="412"/>
      <c r="N82" s="412"/>
      <c r="O82" s="60">
        <f t="shared" si="4"/>
        <v>254335008</v>
      </c>
      <c r="P82" s="527"/>
      <c r="Q82" s="390" t="s">
        <v>501</v>
      </c>
      <c r="R82" s="3"/>
      <c r="S82" s="5"/>
    </row>
    <row r="83" spans="1:19" s="4" customFormat="1" ht="40.5" outlineLevel="1" x14ac:dyDescent="0.25">
      <c r="A83" s="372">
        <v>50</v>
      </c>
      <c r="B83" s="398" t="s">
        <v>169</v>
      </c>
      <c r="C83" s="399" t="s">
        <v>133</v>
      </c>
      <c r="D83" s="375" t="s">
        <v>463</v>
      </c>
      <c r="E83" s="375"/>
      <c r="F83" s="375"/>
      <c r="G83" s="375" t="s">
        <v>345</v>
      </c>
      <c r="H83" s="375" t="s">
        <v>170</v>
      </c>
      <c r="I83" s="399" t="s">
        <v>2</v>
      </c>
      <c r="J83" s="60">
        <v>88731015</v>
      </c>
      <c r="K83" s="412">
        <v>88731000</v>
      </c>
      <c r="L83" s="62">
        <v>8.5000000000000006E-2</v>
      </c>
      <c r="M83" s="412"/>
      <c r="N83" s="412">
        <v>1591081</v>
      </c>
      <c r="O83" s="60">
        <f t="shared" si="4"/>
        <v>88731000</v>
      </c>
      <c r="P83" s="142" t="s">
        <v>171</v>
      </c>
      <c r="Q83" s="142"/>
      <c r="R83" s="3"/>
      <c r="S83" s="5"/>
    </row>
    <row r="84" spans="1:19" ht="81" outlineLevel="1" x14ac:dyDescent="0.25">
      <c r="A84" s="372">
        <v>51</v>
      </c>
      <c r="B84" s="389" t="s">
        <v>175</v>
      </c>
      <c r="C84" s="381" t="s">
        <v>173</v>
      </c>
      <c r="D84" s="381" t="s">
        <v>143</v>
      </c>
      <c r="E84" s="381"/>
      <c r="F84" s="383" t="s">
        <v>441</v>
      </c>
      <c r="G84" s="399" t="s">
        <v>347</v>
      </c>
      <c r="H84" s="399" t="s">
        <v>176</v>
      </c>
      <c r="I84" s="399" t="s">
        <v>51</v>
      </c>
      <c r="J84" s="64">
        <v>8944984.0899999999</v>
      </c>
      <c r="K84" s="412">
        <v>8944984.0899999999</v>
      </c>
      <c r="L84" s="65">
        <v>7.4999999999999997E-3</v>
      </c>
      <c r="M84" s="412">
        <f>2425758.4+151609.9+151609.9+151609.9</f>
        <v>2880588.0999999996</v>
      </c>
      <c r="N84" s="412">
        <f>881276.03+25084.35+24380.12+23943.98+23373.89</f>
        <v>978058.37</v>
      </c>
      <c r="O84" s="386">
        <f t="shared" si="4"/>
        <v>6064395.9900000002</v>
      </c>
      <c r="P84" s="378" t="s">
        <v>76</v>
      </c>
      <c r="Q84" s="378"/>
      <c r="S84" s="5"/>
    </row>
    <row r="85" spans="1:19" ht="55.5" customHeight="1" outlineLevel="1" x14ac:dyDescent="0.25">
      <c r="A85" s="512">
        <v>52</v>
      </c>
      <c r="B85" s="534" t="s">
        <v>177</v>
      </c>
      <c r="C85" s="521" t="s">
        <v>173</v>
      </c>
      <c r="D85" s="521" t="s">
        <v>143</v>
      </c>
      <c r="E85" s="381"/>
      <c r="F85" s="383" t="s">
        <v>441</v>
      </c>
      <c r="G85" s="521" t="s">
        <v>348</v>
      </c>
      <c r="H85" s="399" t="s">
        <v>178</v>
      </c>
      <c r="I85" s="399" t="s">
        <v>51</v>
      </c>
      <c r="J85" s="64">
        <v>5217725</v>
      </c>
      <c r="K85" s="412">
        <v>5217725</v>
      </c>
      <c r="L85" s="65">
        <v>7.4999999999999997E-3</v>
      </c>
      <c r="M85" s="412">
        <f>782658.5+52177.25+52177.25+52177.25</f>
        <v>939190.25</v>
      </c>
      <c r="N85" s="412">
        <f>538816.19+16480.36+16284.66</f>
        <v>571581.21</v>
      </c>
      <c r="O85" s="386">
        <f t="shared" si="4"/>
        <v>4278534.75</v>
      </c>
      <c r="P85" s="521" t="s">
        <v>76</v>
      </c>
      <c r="Q85" s="378"/>
      <c r="S85" s="5"/>
    </row>
    <row r="86" spans="1:19" ht="55.5" customHeight="1" outlineLevel="1" x14ac:dyDescent="0.25">
      <c r="A86" s="535"/>
      <c r="B86" s="527"/>
      <c r="C86" s="528"/>
      <c r="D86" s="528"/>
      <c r="E86" s="391"/>
      <c r="F86" s="383" t="s">
        <v>441</v>
      </c>
      <c r="G86" s="528"/>
      <c r="H86" s="399" t="s">
        <v>178</v>
      </c>
      <c r="I86" s="399" t="s">
        <v>2</v>
      </c>
      <c r="J86" s="64">
        <v>93025000</v>
      </c>
      <c r="K86" s="412">
        <v>93025000</v>
      </c>
      <c r="L86" s="65">
        <v>7.4999999999999997E-3</v>
      </c>
      <c r="M86" s="412">
        <f>13953750+930250+930250+930250</f>
        <v>16744500</v>
      </c>
      <c r="N86" s="412">
        <f>9237334.28+296030+287830</f>
        <v>9821194.2799999993</v>
      </c>
      <c r="O86" s="386">
        <f t="shared" si="4"/>
        <v>76280500</v>
      </c>
      <c r="P86" s="528"/>
      <c r="Q86" s="410"/>
      <c r="S86" s="5"/>
    </row>
    <row r="87" spans="1:19" ht="81" outlineLevel="1" x14ac:dyDescent="0.25">
      <c r="A87" s="143">
        <v>53</v>
      </c>
      <c r="B87" s="389" t="s">
        <v>179</v>
      </c>
      <c r="C87" s="381" t="s">
        <v>173</v>
      </c>
      <c r="D87" s="381" t="s">
        <v>143</v>
      </c>
      <c r="E87" s="381"/>
      <c r="F87" s="383" t="s">
        <v>441</v>
      </c>
      <c r="G87" s="399" t="s">
        <v>349</v>
      </c>
      <c r="H87" s="399" t="s">
        <v>180</v>
      </c>
      <c r="I87" s="399" t="s">
        <v>51</v>
      </c>
      <c r="J87" s="64">
        <v>1989000</v>
      </c>
      <c r="K87" s="412">
        <v>1989000</v>
      </c>
      <c r="L87" s="65">
        <v>7.4999999999999997E-3</v>
      </c>
      <c r="M87" s="412">
        <f>337118.7+33711.86+33711.86+33711.86</f>
        <v>438254.27999999997</v>
      </c>
      <c r="N87" s="412">
        <f>177150.18+6084.76+5957.99</f>
        <v>189192.93</v>
      </c>
      <c r="O87" s="386">
        <f t="shared" si="4"/>
        <v>1550745.72</v>
      </c>
      <c r="P87" s="378" t="s">
        <v>76</v>
      </c>
      <c r="Q87" s="378"/>
      <c r="S87" s="5"/>
    </row>
    <row r="88" spans="1:19" ht="94.5" outlineLevel="1" x14ac:dyDescent="0.25">
      <c r="A88" s="143">
        <v>54</v>
      </c>
      <c r="B88" s="389" t="s">
        <v>295</v>
      </c>
      <c r="C88" s="381" t="s">
        <v>296</v>
      </c>
      <c r="D88" s="381" t="s">
        <v>143</v>
      </c>
      <c r="E88" s="381"/>
      <c r="F88" s="383" t="s">
        <v>441</v>
      </c>
      <c r="G88" s="381" t="s">
        <v>350</v>
      </c>
      <c r="H88" s="381" t="s">
        <v>297</v>
      </c>
      <c r="I88" s="399" t="s">
        <v>2</v>
      </c>
      <c r="J88" s="64">
        <v>2047212646</v>
      </c>
      <c r="K88" s="401">
        <v>2047212646</v>
      </c>
      <c r="L88" s="65">
        <v>0.02</v>
      </c>
      <c r="M88" s="412">
        <v>0</v>
      </c>
      <c r="N88" s="412">
        <f>88017538.4+20640391+20640391+20303862+20640391</f>
        <v>170242573.40000001</v>
      </c>
      <c r="O88" s="386">
        <f t="shared" si="4"/>
        <v>2047212646</v>
      </c>
      <c r="P88" s="378" t="s">
        <v>76</v>
      </c>
      <c r="Q88" s="378"/>
      <c r="S88" s="5"/>
    </row>
    <row r="89" spans="1:19" ht="144" customHeight="1" outlineLevel="1" x14ac:dyDescent="0.25">
      <c r="A89" s="408">
        <v>55</v>
      </c>
      <c r="B89" s="389" t="s">
        <v>181</v>
      </c>
      <c r="C89" s="381" t="s">
        <v>182</v>
      </c>
      <c r="D89" s="381" t="s">
        <v>93</v>
      </c>
      <c r="E89" s="381"/>
      <c r="F89" s="381" t="s">
        <v>441</v>
      </c>
      <c r="G89" s="381" t="s">
        <v>492</v>
      </c>
      <c r="H89" s="381" t="s">
        <v>183</v>
      </c>
      <c r="I89" s="399" t="s">
        <v>51</v>
      </c>
      <c r="J89" s="64">
        <v>2217000</v>
      </c>
      <c r="K89" s="64">
        <v>2217000</v>
      </c>
      <c r="L89" s="66">
        <v>0.02</v>
      </c>
      <c r="M89" s="412">
        <f>1656550.78+18166.04+7000680/387.28+18122.86+18122.86+32122.86+28837.1+8000+8000+8000+20000+20000+20000+20000</f>
        <v>1893999.0337740141</v>
      </c>
      <c r="N89" s="412">
        <f>108750.120345235+1633.42+698950/387.28+1809.39+1778.61+1691.44+3308.88+1649.96+1632.88+1515.4+1606.14+1524.38+1543.23+1460.82+1473.1</f>
        <v>133182.53692238851</v>
      </c>
      <c r="O89" s="386">
        <f t="shared" si="4"/>
        <v>323000.9662259859</v>
      </c>
      <c r="P89" s="378" t="s">
        <v>184</v>
      </c>
      <c r="Q89" s="378" t="s">
        <v>498</v>
      </c>
      <c r="S89" s="5"/>
    </row>
    <row r="90" spans="1:19" ht="128.25" customHeight="1" outlineLevel="1" x14ac:dyDescent="0.25">
      <c r="A90" s="399">
        <v>56</v>
      </c>
      <c r="B90" s="398" t="s">
        <v>284</v>
      </c>
      <c r="C90" s="399" t="s">
        <v>285</v>
      </c>
      <c r="D90" s="399" t="s">
        <v>118</v>
      </c>
      <c r="E90" s="399"/>
      <c r="F90" s="375" t="s">
        <v>497</v>
      </c>
      <c r="G90" s="399" t="s">
        <v>352</v>
      </c>
      <c r="H90" s="381" t="s">
        <v>287</v>
      </c>
      <c r="I90" s="399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12"/>
      <c r="N90" s="67">
        <f>77849.88+103888.1+413918.01+520635</f>
        <v>1116290.99</v>
      </c>
      <c r="O90" s="386">
        <f t="shared" si="4"/>
        <v>20000000</v>
      </c>
      <c r="P90" s="378" t="s">
        <v>289</v>
      </c>
      <c r="Q90" s="378" t="s">
        <v>498</v>
      </c>
      <c r="S90" s="5"/>
    </row>
    <row r="91" spans="1:19" s="4" customFormat="1" ht="38.25" customHeight="1" outlineLevel="1" x14ac:dyDescent="0.25">
      <c r="A91" s="532">
        <v>57</v>
      </c>
      <c r="B91" s="534" t="s">
        <v>185</v>
      </c>
      <c r="C91" s="521" t="s">
        <v>186</v>
      </c>
      <c r="D91" s="521"/>
      <c r="E91" s="391"/>
      <c r="F91" s="392"/>
      <c r="G91" s="531" t="s">
        <v>353</v>
      </c>
      <c r="H91" s="531" t="s">
        <v>187</v>
      </c>
      <c r="I91" s="405" t="s">
        <v>51</v>
      </c>
      <c r="J91" s="60">
        <v>237758.39</v>
      </c>
      <c r="K91" s="412">
        <v>237758.39</v>
      </c>
      <c r="L91" s="413"/>
      <c r="M91" s="412"/>
      <c r="N91" s="412"/>
      <c r="O91" s="60">
        <f t="shared" si="4"/>
        <v>237758.39</v>
      </c>
      <c r="P91" s="521" t="s">
        <v>76</v>
      </c>
      <c r="Q91" s="378"/>
      <c r="R91" s="3"/>
      <c r="S91" s="5"/>
    </row>
    <row r="92" spans="1:19" s="4" customFormat="1" ht="45" customHeight="1" outlineLevel="1" x14ac:dyDescent="0.25">
      <c r="A92" s="533"/>
      <c r="B92" s="527"/>
      <c r="C92" s="528"/>
      <c r="D92" s="528"/>
      <c r="E92" s="373"/>
      <c r="F92" s="373"/>
      <c r="G92" s="530"/>
      <c r="H92" s="530"/>
      <c r="I92" s="47" t="s">
        <v>2</v>
      </c>
      <c r="J92" s="68">
        <v>28883700</v>
      </c>
      <c r="K92" s="412">
        <v>28883700</v>
      </c>
      <c r="L92" s="403"/>
      <c r="M92" s="412"/>
      <c r="N92" s="412"/>
      <c r="O92" s="60">
        <f t="shared" si="4"/>
        <v>28883700</v>
      </c>
      <c r="P92" s="528"/>
      <c r="Q92" s="379"/>
      <c r="R92" s="3"/>
      <c r="S92" s="5"/>
    </row>
    <row r="93" spans="1:19" s="2" customFormat="1" ht="59.25" customHeight="1" outlineLevel="1" x14ac:dyDescent="0.25">
      <c r="A93" s="380">
        <v>58</v>
      </c>
      <c r="B93" s="389" t="s">
        <v>111</v>
      </c>
      <c r="C93" s="381" t="s">
        <v>112</v>
      </c>
      <c r="D93" s="399" t="s">
        <v>463</v>
      </c>
      <c r="E93" s="399"/>
      <c r="F93" s="375"/>
      <c r="G93" s="399" t="s">
        <v>354</v>
      </c>
      <c r="H93" s="399" t="s">
        <v>114</v>
      </c>
      <c r="I93" s="399" t="s">
        <v>2</v>
      </c>
      <c r="J93" s="412">
        <v>303444194</v>
      </c>
      <c r="K93" s="401">
        <v>303444194</v>
      </c>
      <c r="L93" s="403"/>
      <c r="M93" s="401"/>
      <c r="N93" s="401"/>
      <c r="O93" s="394">
        <f t="shared" si="4"/>
        <v>303444194</v>
      </c>
      <c r="P93" s="378" t="s">
        <v>76</v>
      </c>
      <c r="Q93" s="378"/>
      <c r="R93" s="1"/>
      <c r="S93" s="5"/>
    </row>
    <row r="94" spans="1:19" s="5" customFormat="1" ht="54.75" customHeight="1" outlineLevel="1" x14ac:dyDescent="0.25">
      <c r="A94" s="408"/>
      <c r="B94" s="389" t="s">
        <v>535</v>
      </c>
      <c r="C94" s="381" t="s">
        <v>112</v>
      </c>
      <c r="D94" s="399" t="s">
        <v>463</v>
      </c>
      <c r="E94" s="399"/>
      <c r="F94" s="375"/>
      <c r="G94" s="399" t="s">
        <v>536</v>
      </c>
      <c r="H94" s="399" t="s">
        <v>537</v>
      </c>
      <c r="I94" s="405" t="s">
        <v>2</v>
      </c>
      <c r="J94" s="412">
        <v>29938264</v>
      </c>
      <c r="K94" s="412">
        <v>29938264</v>
      </c>
      <c r="L94" s="384"/>
      <c r="M94" s="412">
        <v>9000000</v>
      </c>
      <c r="N94" s="412"/>
      <c r="O94" s="394">
        <f t="shared" si="4"/>
        <v>20938264</v>
      </c>
      <c r="P94" s="378" t="s">
        <v>76</v>
      </c>
      <c r="Q94" s="379"/>
      <c r="R94" s="8"/>
    </row>
    <row r="95" spans="1:19" ht="51" customHeight="1" x14ac:dyDescent="0.25">
      <c r="A95" s="399">
        <v>59</v>
      </c>
      <c r="B95" s="398" t="s">
        <v>440</v>
      </c>
      <c r="C95" s="399" t="s">
        <v>441</v>
      </c>
      <c r="D95" s="399" t="s">
        <v>463</v>
      </c>
      <c r="E95" s="399"/>
      <c r="F95" s="399" t="s">
        <v>441</v>
      </c>
      <c r="G95" s="399" t="s">
        <v>442</v>
      </c>
      <c r="H95" s="399" t="s">
        <v>443</v>
      </c>
      <c r="I95" s="399" t="s">
        <v>2</v>
      </c>
      <c r="J95" s="412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399" t="s">
        <v>444</v>
      </c>
      <c r="Q95" s="399"/>
      <c r="S95" s="5"/>
    </row>
    <row r="96" spans="1:19" ht="155.25" customHeight="1" x14ac:dyDescent="0.25">
      <c r="A96" s="409">
        <v>60</v>
      </c>
      <c r="B96" s="390" t="s">
        <v>481</v>
      </c>
      <c r="C96" s="399" t="s">
        <v>441</v>
      </c>
      <c r="D96" s="399" t="s">
        <v>463</v>
      </c>
      <c r="E96" s="373"/>
      <c r="F96" s="374" t="s">
        <v>441</v>
      </c>
      <c r="G96" s="373"/>
      <c r="H96" s="399" t="s">
        <v>482</v>
      </c>
      <c r="I96" s="399" t="s">
        <v>2</v>
      </c>
      <c r="J96" s="402">
        <v>3500000000</v>
      </c>
      <c r="K96" s="402">
        <v>3500000000</v>
      </c>
      <c r="L96" s="62">
        <v>0.08</v>
      </c>
      <c r="M96" s="192"/>
      <c r="N96" s="192"/>
      <c r="O96" s="60">
        <f t="shared" si="4"/>
        <v>3500000000</v>
      </c>
      <c r="P96" s="379" t="s">
        <v>483</v>
      </c>
      <c r="Q96" s="379" t="s">
        <v>498</v>
      </c>
      <c r="S96" s="5"/>
    </row>
    <row r="97" spans="1:19" s="2" customFormat="1" ht="47.25" customHeight="1" outlineLevel="1" x14ac:dyDescent="0.25">
      <c r="A97" s="371">
        <v>61</v>
      </c>
      <c r="B97" s="373" t="s">
        <v>484</v>
      </c>
      <c r="C97" s="373" t="s">
        <v>441</v>
      </c>
      <c r="D97" s="373" t="s">
        <v>463</v>
      </c>
      <c r="E97" s="373"/>
      <c r="F97" s="374" t="s">
        <v>441</v>
      </c>
      <c r="G97" s="99" t="s">
        <v>447</v>
      </c>
      <c r="H97" s="373" t="s">
        <v>263</v>
      </c>
      <c r="I97" s="373" t="s">
        <v>2</v>
      </c>
      <c r="J97" s="402">
        <v>2000000000</v>
      </c>
      <c r="K97" s="402">
        <v>2000000000</v>
      </c>
      <c r="L97" s="385">
        <v>1E-4</v>
      </c>
      <c r="M97" s="402"/>
      <c r="N97" s="402"/>
      <c r="O97" s="396">
        <f t="shared" si="4"/>
        <v>2000000000</v>
      </c>
      <c r="P97" s="379" t="s">
        <v>448</v>
      </c>
      <c r="Q97" s="379" t="s">
        <v>498</v>
      </c>
      <c r="R97" s="1"/>
      <c r="S97" s="5"/>
    </row>
    <row r="98" spans="1:19" s="2" customFormat="1" ht="47.25" customHeight="1" outlineLevel="1" x14ac:dyDescent="0.25">
      <c r="A98" s="371">
        <v>62</v>
      </c>
      <c r="B98" s="373" t="s">
        <v>188</v>
      </c>
      <c r="C98" s="373" t="s">
        <v>189</v>
      </c>
      <c r="D98" s="373" t="s">
        <v>485</v>
      </c>
      <c r="E98" s="373"/>
      <c r="F98" s="374" t="s">
        <v>441</v>
      </c>
      <c r="G98" s="99" t="s">
        <v>355</v>
      </c>
      <c r="H98" s="373" t="s">
        <v>191</v>
      </c>
      <c r="I98" s="373" t="s">
        <v>51</v>
      </c>
      <c r="J98" s="402">
        <v>10000000</v>
      </c>
      <c r="K98" s="402">
        <v>10000000</v>
      </c>
      <c r="L98" s="385" t="s">
        <v>192</v>
      </c>
      <c r="M98" s="402">
        <v>2553676.86</v>
      </c>
      <c r="N98" s="402">
        <f>3533579.15874841+18816925/512.41+16022937.4/426.85+37537.63+37130+36723+37538+'[2]15,08,20 գործող'!$I$55+'[2]15,08,20 գործող'!$I$56+121220+144673</f>
        <v>4097736.4704706864</v>
      </c>
      <c r="O98" s="396">
        <f>K98-M98</f>
        <v>7446323.1400000006</v>
      </c>
      <c r="P98" s="379" t="s">
        <v>193</v>
      </c>
      <c r="Q98" s="379" t="s">
        <v>498</v>
      </c>
      <c r="R98" s="1"/>
      <c r="S98" s="5"/>
    </row>
    <row r="99" spans="1:19" s="2" customFormat="1" ht="51" customHeight="1" outlineLevel="1" thickBot="1" x14ac:dyDescent="0.3">
      <c r="A99" s="372">
        <v>63</v>
      </c>
      <c r="B99" s="399" t="s">
        <v>188</v>
      </c>
      <c r="C99" s="194" t="s">
        <v>502</v>
      </c>
      <c r="D99" s="194" t="s">
        <v>485</v>
      </c>
      <c r="E99" s="194"/>
      <c r="F99" s="74" t="s">
        <v>441</v>
      </c>
      <c r="G99" s="310" t="s">
        <v>356</v>
      </c>
      <c r="H99" s="194" t="s">
        <v>194</v>
      </c>
      <c r="I99" s="194" t="s">
        <v>2</v>
      </c>
      <c r="J99" s="412">
        <v>8000000000</v>
      </c>
      <c r="K99" s="412">
        <v>8000000000</v>
      </c>
      <c r="L99" s="411" t="s">
        <v>195</v>
      </c>
      <c r="M99" s="412"/>
      <c r="N99" s="412">
        <f>3496438357+79342466+80657534+79342466+79342466+1315069+216021918</f>
        <v>4032460276</v>
      </c>
      <c r="O99" s="386">
        <f>K99-M99</f>
        <v>8000000000</v>
      </c>
      <c r="P99" s="140" t="s">
        <v>196</v>
      </c>
      <c r="Q99" s="140" t="s">
        <v>498</v>
      </c>
      <c r="R99" s="1"/>
      <c r="S99" s="5"/>
    </row>
    <row r="100" spans="1:19" s="9" customFormat="1" ht="24.75" customHeight="1" x14ac:dyDescent="0.25">
      <c r="A100" s="591" t="s">
        <v>197</v>
      </c>
      <c r="B100" s="592"/>
      <c r="C100" s="593"/>
      <c r="F100" s="80"/>
      <c r="G100" s="80"/>
      <c r="H100" s="80"/>
      <c r="I100" s="80" t="s">
        <v>29</v>
      </c>
      <c r="J100" s="13">
        <f>SUMIF($I$72:$I$99,I100,$J$72:$J$99)</f>
        <v>41500000</v>
      </c>
      <c r="K100" s="13">
        <f>SUMIF($I$72:$I$99,I100,$K$72:$K$99)</f>
        <v>22544123.02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22511399.198296245</v>
      </c>
      <c r="P100" s="147"/>
      <c r="Q100" s="152"/>
      <c r="R100" s="8"/>
      <c r="S100" s="5"/>
    </row>
    <row r="101" spans="1:19" s="9" customFormat="1" ht="39" customHeight="1" x14ac:dyDescent="0.25">
      <c r="A101" s="585"/>
      <c r="B101" s="586"/>
      <c r="C101" s="587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101959726.90000001</v>
      </c>
      <c r="N101" s="11">
        <f>SUMIF($I$72:$I$99,I101,$N$72:$N$99)</f>
        <v>4237199442.1799998</v>
      </c>
      <c r="O101" s="11">
        <f>SUMIF($I$72:$I$99,I101,$O$72:$O$99)</f>
        <v>20255925361.099998</v>
      </c>
      <c r="P101" s="148"/>
      <c r="Q101" s="148"/>
      <c r="R101" s="8"/>
      <c r="S101" s="5"/>
    </row>
    <row r="102" spans="1:19" s="9" customFormat="1" ht="39" customHeight="1" x14ac:dyDescent="0.25">
      <c r="A102" s="585"/>
      <c r="B102" s="586"/>
      <c r="C102" s="587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9585918.7506632656</v>
      </c>
      <c r="N102" s="11">
        <f>SUMIF($I$72:$I$99,I102,$N$72:$N$99)</f>
        <v>6384715.5173465312</v>
      </c>
      <c r="O102" s="11">
        <f>SUMIF($I$72:$I$99,I102,$O$72:$O$99)</f>
        <v>20251042.799336735</v>
      </c>
      <c r="P102" s="148"/>
      <c r="Q102" s="148"/>
      <c r="R102" s="8"/>
      <c r="S102" s="5"/>
    </row>
    <row r="103" spans="1:19" s="9" customFormat="1" ht="39" customHeight="1" thickBot="1" x14ac:dyDescent="0.3">
      <c r="A103" s="588"/>
      <c r="B103" s="589"/>
      <c r="C103" s="590"/>
      <c r="D103" s="41"/>
      <c r="E103" s="41"/>
      <c r="F103" s="54"/>
      <c r="G103" s="54"/>
      <c r="H103" s="54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150"/>
      <c r="R103" s="8"/>
      <c r="S103" s="5"/>
    </row>
    <row r="104" spans="1:19" s="4" customFormat="1" ht="156.75" customHeight="1" outlineLevel="1" x14ac:dyDescent="0.25">
      <c r="A104" s="372">
        <v>64</v>
      </c>
      <c r="B104" s="381" t="s">
        <v>0</v>
      </c>
      <c r="C104" s="381" t="s">
        <v>1</v>
      </c>
      <c r="D104" s="391" t="s">
        <v>463</v>
      </c>
      <c r="E104" s="391"/>
      <c r="F104" s="392"/>
      <c r="G104" s="392" t="s">
        <v>357</v>
      </c>
      <c r="H104" s="392" t="s">
        <v>198</v>
      </c>
      <c r="I104" s="399" t="s">
        <v>2</v>
      </c>
      <c r="J104" s="68">
        <f>3047000000+3000000000</f>
        <v>6047000000</v>
      </c>
      <c r="K104" s="40">
        <v>6000000000</v>
      </c>
      <c r="L104" s="403"/>
      <c r="M104" s="40">
        <f>4439902959+260956717.5+995441267.7+73262192.2+103703140+88648827.6+23704487.9+9999937.1</f>
        <v>5995619529</v>
      </c>
      <c r="N104" s="40"/>
      <c r="O104" s="401">
        <f t="shared" ref="O104:O109" si="5">K104-M104</f>
        <v>4380471</v>
      </c>
      <c r="P104" s="146" t="s">
        <v>76</v>
      </c>
      <c r="Q104" s="151"/>
      <c r="R104" s="3"/>
      <c r="S104" s="5"/>
    </row>
    <row r="105" spans="1:19" s="4" customFormat="1" ht="147" customHeight="1" outlineLevel="1" x14ac:dyDescent="0.25">
      <c r="A105" s="372">
        <v>65</v>
      </c>
      <c r="B105" s="381" t="s">
        <v>0</v>
      </c>
      <c r="C105" s="521" t="s">
        <v>7</v>
      </c>
      <c r="D105" s="381" t="s">
        <v>463</v>
      </c>
      <c r="E105" s="381"/>
      <c r="F105" s="383"/>
      <c r="G105" s="383" t="s">
        <v>488</v>
      </c>
      <c r="H105" s="383" t="s">
        <v>9</v>
      </c>
      <c r="I105" s="399" t="s">
        <v>2</v>
      </c>
      <c r="J105" s="412">
        <v>2000000000</v>
      </c>
      <c r="K105" s="40">
        <v>2000000000</v>
      </c>
      <c r="L105" s="413">
        <v>2.7E-2</v>
      </c>
      <c r="M105" s="40"/>
      <c r="N105" s="386">
        <f>68417269.8+13462993.2+49643.9+1421840.5+38566246.5+491534.9+1119195.4+178355+29883.2+10588.6+3022.3</f>
        <v>123750573.30000001</v>
      </c>
      <c r="O105" s="386">
        <f t="shared" si="5"/>
        <v>2000000000</v>
      </c>
      <c r="P105" s="146" t="s">
        <v>76</v>
      </c>
      <c r="Q105" s="146"/>
      <c r="R105" s="3"/>
      <c r="S105" s="5"/>
    </row>
    <row r="106" spans="1:19" s="4" customFormat="1" ht="144.75" customHeight="1" outlineLevel="1" x14ac:dyDescent="0.25">
      <c r="A106" s="372">
        <v>66</v>
      </c>
      <c r="B106" s="381" t="s">
        <v>0</v>
      </c>
      <c r="C106" s="522"/>
      <c r="D106" s="387" t="s">
        <v>463</v>
      </c>
      <c r="E106" s="397"/>
      <c r="F106" s="383"/>
      <c r="G106" s="383" t="s">
        <v>489</v>
      </c>
      <c r="H106" s="383" t="s">
        <v>11</v>
      </c>
      <c r="I106" s="373" t="s">
        <v>2</v>
      </c>
      <c r="J106" s="412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386">
        <f t="shared" si="5"/>
        <v>2000000000</v>
      </c>
      <c r="P106" s="146" t="s">
        <v>76</v>
      </c>
      <c r="Q106" s="146"/>
      <c r="R106" s="3"/>
      <c r="S106" s="5"/>
    </row>
    <row r="107" spans="1:19" s="4" customFormat="1" ht="168" customHeight="1" outlineLevel="1" x14ac:dyDescent="0.25">
      <c r="A107" s="372">
        <v>67</v>
      </c>
      <c r="B107" s="311" t="s">
        <v>0</v>
      </c>
      <c r="C107" s="528"/>
      <c r="D107" s="379"/>
      <c r="E107" s="379"/>
      <c r="F107" s="312"/>
      <c r="G107" s="375" t="s">
        <v>490</v>
      </c>
      <c r="H107" s="375" t="s">
        <v>199</v>
      </c>
      <c r="I107" s="373" t="s">
        <v>2</v>
      </c>
      <c r="J107" s="412">
        <v>5000000000</v>
      </c>
      <c r="K107" s="40">
        <v>5000000000</v>
      </c>
      <c r="L107" s="413">
        <v>2.7E-2</v>
      </c>
      <c r="M107" s="40"/>
      <c r="N107" s="40">
        <f>34209157.5+76580313.4+83507353.3+1840160.7</f>
        <v>196136984.89999998</v>
      </c>
      <c r="O107" s="386">
        <f t="shared" si="5"/>
        <v>5000000000</v>
      </c>
      <c r="P107" s="142" t="s">
        <v>76</v>
      </c>
      <c r="Q107" s="142"/>
      <c r="R107" s="3"/>
      <c r="S107" s="5"/>
    </row>
    <row r="108" spans="1:19" s="4" customFormat="1" ht="162" outlineLevel="1" x14ac:dyDescent="0.25">
      <c r="A108" s="371">
        <v>68</v>
      </c>
      <c r="B108" s="391" t="s">
        <v>3</v>
      </c>
      <c r="C108" s="391" t="s">
        <v>5</v>
      </c>
      <c r="D108" s="391" t="s">
        <v>463</v>
      </c>
      <c r="E108" s="391"/>
      <c r="F108" s="392"/>
      <c r="G108" s="392" t="s">
        <v>358</v>
      </c>
      <c r="H108" s="392" t="s">
        <v>6</v>
      </c>
      <c r="I108" s="373" t="s">
        <v>2</v>
      </c>
      <c r="J108" s="402">
        <v>562500000</v>
      </c>
      <c r="K108" s="192">
        <v>562500000</v>
      </c>
      <c r="L108" s="70"/>
      <c r="M108" s="192"/>
      <c r="N108" s="192"/>
      <c r="O108" s="395">
        <f t="shared" si="5"/>
        <v>562500000</v>
      </c>
      <c r="P108" s="151" t="s">
        <v>76</v>
      </c>
      <c r="Q108" s="151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463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</f>
        <v>8822279411.0000076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202015588.99999237</v>
      </c>
      <c r="P109" s="195" t="s">
        <v>76</v>
      </c>
      <c r="Q109" s="195"/>
      <c r="R109" s="3"/>
      <c r="S109" s="5"/>
    </row>
    <row r="110" spans="1:19" s="9" customFormat="1" ht="30" customHeight="1" x14ac:dyDescent="0.25">
      <c r="A110" s="591" t="s">
        <v>200</v>
      </c>
      <c r="B110" s="592"/>
      <c r="C110" s="593"/>
      <c r="D110" s="309"/>
      <c r="E110" s="309"/>
      <c r="F110" s="80"/>
      <c r="G110" s="80"/>
      <c r="H110" s="80"/>
      <c r="I110" s="313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152"/>
      <c r="R110" s="3"/>
      <c r="S110" s="5"/>
    </row>
    <row r="111" spans="1:19" s="9" customFormat="1" ht="27" customHeight="1" x14ac:dyDescent="0.25">
      <c r="A111" s="585"/>
      <c r="B111" s="586"/>
      <c r="C111" s="587"/>
      <c r="D111" s="41"/>
      <c r="E111" s="41"/>
      <c r="F111" s="54"/>
      <c r="G111" s="54"/>
      <c r="H111" s="54"/>
      <c r="I111" s="314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14817898940.000008</v>
      </c>
      <c r="N111" s="11">
        <f>SUMIF($I$104:$I$109,I111,$N$104:$N$109)</f>
        <v>639983383.70000005</v>
      </c>
      <c r="O111" s="11">
        <f>SUMIF($I$104:$I$109,I111,$O$104:$O$109)</f>
        <v>9768896059.9999924</v>
      </c>
      <c r="P111" s="148"/>
      <c r="Q111" s="148"/>
      <c r="R111" s="3"/>
      <c r="S111" s="5"/>
    </row>
    <row r="112" spans="1:19" s="9" customFormat="1" ht="28.5" customHeight="1" x14ac:dyDescent="0.25">
      <c r="A112" s="585"/>
      <c r="B112" s="586"/>
      <c r="C112" s="587"/>
      <c r="D112" s="41"/>
      <c r="E112" s="41"/>
      <c r="F112" s="54"/>
      <c r="G112" s="54"/>
      <c r="H112" s="54"/>
      <c r="I112" s="314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148"/>
      <c r="R112" s="8"/>
      <c r="S112" s="5"/>
    </row>
    <row r="113" spans="1:19" s="9" customFormat="1" ht="30" customHeight="1" thickBot="1" x14ac:dyDescent="0.3">
      <c r="A113" s="588"/>
      <c r="B113" s="589"/>
      <c r="C113" s="590"/>
      <c r="D113" s="306"/>
      <c r="E113" s="306"/>
      <c r="F113" s="57"/>
      <c r="G113" s="57"/>
      <c r="H113" s="57"/>
      <c r="I113" s="304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150"/>
      <c r="R113" s="8"/>
      <c r="S113" s="5"/>
    </row>
    <row r="114" spans="1:19" s="4" customFormat="1" ht="121.5" outlineLevel="1" x14ac:dyDescent="0.25">
      <c r="A114" s="371">
        <v>70</v>
      </c>
      <c r="B114" s="404" t="s">
        <v>201</v>
      </c>
      <c r="C114" s="404" t="s">
        <v>202</v>
      </c>
      <c r="D114" s="391" t="s">
        <v>463</v>
      </c>
      <c r="E114" s="391"/>
      <c r="F114" s="391" t="s">
        <v>441</v>
      </c>
      <c r="G114" s="392" t="s">
        <v>359</v>
      </c>
      <c r="H114" s="392" t="s">
        <v>203</v>
      </c>
      <c r="I114" s="399" t="s">
        <v>2</v>
      </c>
      <c r="J114" s="79">
        <v>574491741</v>
      </c>
      <c r="K114" s="79">
        <v>574491741</v>
      </c>
      <c r="L114" s="393">
        <v>1E-4</v>
      </c>
      <c r="M114" s="79">
        <f>132575017.2</f>
        <v>132575017.2</v>
      </c>
      <c r="N114" s="79">
        <f>85623+14165+39966.7</f>
        <v>139754.70000000001</v>
      </c>
      <c r="O114" s="395">
        <f t="shared" ref="O114:O126" si="6">K114-M114</f>
        <v>441916723.80000001</v>
      </c>
      <c r="P114" s="151" t="s">
        <v>204</v>
      </c>
      <c r="Q114" s="151"/>
      <c r="R114" s="3"/>
      <c r="S114" s="5"/>
    </row>
    <row r="115" spans="1:19" s="4" customFormat="1" ht="108" outlineLevel="1" x14ac:dyDescent="0.25">
      <c r="A115" s="372">
        <v>71</v>
      </c>
      <c r="B115" s="389" t="s">
        <v>205</v>
      </c>
      <c r="C115" s="389" t="s">
        <v>202</v>
      </c>
      <c r="D115" s="381" t="s">
        <v>463</v>
      </c>
      <c r="E115" s="381"/>
      <c r="F115" s="381" t="s">
        <v>441</v>
      </c>
      <c r="G115" s="383" t="s">
        <v>360</v>
      </c>
      <c r="H115" s="383" t="s">
        <v>206</v>
      </c>
      <c r="I115" s="399" t="s">
        <v>2</v>
      </c>
      <c r="J115" s="68">
        <v>98612371</v>
      </c>
      <c r="K115" s="60">
        <v>98612371</v>
      </c>
      <c r="L115" s="384">
        <v>1E-4</v>
      </c>
      <c r="M115" s="60"/>
      <c r="N115" s="60">
        <v>17060</v>
      </c>
      <c r="O115" s="394">
        <f t="shared" si="6"/>
        <v>98612371</v>
      </c>
      <c r="P115" s="146" t="s">
        <v>207</v>
      </c>
      <c r="Q115" s="146"/>
      <c r="R115" s="3"/>
      <c r="S115" s="5"/>
    </row>
    <row r="116" spans="1:19" s="4" customFormat="1" ht="108" outlineLevel="1" x14ac:dyDescent="0.25">
      <c r="A116" s="372">
        <v>72</v>
      </c>
      <c r="B116" s="389" t="s">
        <v>208</v>
      </c>
      <c r="C116" s="389" t="s">
        <v>202</v>
      </c>
      <c r="D116" s="381" t="s">
        <v>463</v>
      </c>
      <c r="E116" s="381"/>
      <c r="F116" s="381" t="s">
        <v>441</v>
      </c>
      <c r="G116" s="383" t="s">
        <v>361</v>
      </c>
      <c r="H116" s="383" t="s">
        <v>209</v>
      </c>
      <c r="I116" s="399" t="s">
        <v>2</v>
      </c>
      <c r="J116" s="68">
        <v>60132468</v>
      </c>
      <c r="K116" s="60">
        <v>60132468</v>
      </c>
      <c r="L116" s="384">
        <v>1E-4</v>
      </c>
      <c r="M116" s="60">
        <f>4625574.5+4625574.5+4625574.5+4625574.5+4625575+4625575+4625575+4625575+4625575</f>
        <v>41630173</v>
      </c>
      <c r="N116" s="60">
        <f>10367+1511.2+1400+1500+1500+1000+20000+1000</f>
        <v>38278.199999999997</v>
      </c>
      <c r="O116" s="394">
        <f t="shared" si="6"/>
        <v>18502295</v>
      </c>
      <c r="P116" s="146" t="s">
        <v>210</v>
      </c>
      <c r="Q116" s="146"/>
      <c r="R116" s="15"/>
      <c r="S116" s="5"/>
    </row>
    <row r="117" spans="1:19" s="4" customFormat="1" ht="108" outlineLevel="1" x14ac:dyDescent="0.25">
      <c r="A117" s="372">
        <v>73</v>
      </c>
      <c r="B117" s="389" t="s">
        <v>211</v>
      </c>
      <c r="C117" s="389" t="s">
        <v>202</v>
      </c>
      <c r="D117" s="381" t="s">
        <v>463</v>
      </c>
      <c r="E117" s="381"/>
      <c r="F117" s="381" t="s">
        <v>441</v>
      </c>
      <c r="G117" s="383" t="s">
        <v>362</v>
      </c>
      <c r="H117" s="383" t="s">
        <v>212</v>
      </c>
      <c r="I117" s="399" t="s">
        <v>2</v>
      </c>
      <c r="J117" s="412">
        <f>9500000+12453199</f>
        <v>21953199</v>
      </c>
      <c r="K117" s="60">
        <f>9500000+12453199</f>
        <v>21953199</v>
      </c>
      <c r="L117" s="384">
        <v>1E-4</v>
      </c>
      <c r="M117" s="60"/>
      <c r="N117" s="60">
        <v>3720</v>
      </c>
      <c r="O117" s="394">
        <f t="shared" si="6"/>
        <v>21953199</v>
      </c>
      <c r="P117" s="146" t="s">
        <v>213</v>
      </c>
      <c r="Q117" s="146"/>
      <c r="R117" s="15"/>
      <c r="S117" s="5"/>
    </row>
    <row r="118" spans="1:19" s="4" customFormat="1" ht="129.75" customHeight="1" outlineLevel="1" x14ac:dyDescent="0.25">
      <c r="A118" s="372">
        <v>74</v>
      </c>
      <c r="B118" s="389" t="s">
        <v>214</v>
      </c>
      <c r="C118" s="389" t="s">
        <v>202</v>
      </c>
      <c r="D118" s="381" t="s">
        <v>463</v>
      </c>
      <c r="E118" s="381"/>
      <c r="F118" s="381" t="s">
        <v>441</v>
      </c>
      <c r="G118" s="383" t="s">
        <v>362</v>
      </c>
      <c r="H118" s="383" t="s">
        <v>215</v>
      </c>
      <c r="I118" s="399" t="s">
        <v>2</v>
      </c>
      <c r="J118" s="68">
        <v>15801400</v>
      </c>
      <c r="K118" s="60">
        <v>15801400</v>
      </c>
      <c r="L118" s="384">
        <v>1E-4</v>
      </c>
      <c r="M118" s="60"/>
      <c r="N118" s="60">
        <v>3500</v>
      </c>
      <c r="O118" s="394">
        <f t="shared" si="6"/>
        <v>15801400</v>
      </c>
      <c r="P118" s="146" t="s">
        <v>216</v>
      </c>
      <c r="Q118" s="146"/>
      <c r="R118" s="15"/>
      <c r="S118" s="5"/>
    </row>
    <row r="119" spans="1:19" s="4" customFormat="1" ht="129.75" customHeight="1" outlineLevel="1" x14ac:dyDescent="0.25">
      <c r="A119" s="372">
        <v>75</v>
      </c>
      <c r="B119" s="389" t="s">
        <v>217</v>
      </c>
      <c r="C119" s="389" t="s">
        <v>202</v>
      </c>
      <c r="D119" s="381" t="s">
        <v>463</v>
      </c>
      <c r="E119" s="381"/>
      <c r="F119" s="381" t="s">
        <v>441</v>
      </c>
      <c r="G119" s="383" t="s">
        <v>362</v>
      </c>
      <c r="H119" s="383" t="s">
        <v>215</v>
      </c>
      <c r="I119" s="399" t="s">
        <v>2</v>
      </c>
      <c r="J119" s="68">
        <v>2554000</v>
      </c>
      <c r="K119" s="60">
        <v>2554000</v>
      </c>
      <c r="L119" s="384">
        <v>1E-4</v>
      </c>
      <c r="M119" s="60"/>
      <c r="N119" s="60">
        <f>500</f>
        <v>500</v>
      </c>
      <c r="O119" s="394">
        <f t="shared" si="6"/>
        <v>2554000</v>
      </c>
      <c r="P119" s="146" t="s">
        <v>218</v>
      </c>
      <c r="Q119" s="146"/>
      <c r="R119" s="15"/>
      <c r="S119" s="5"/>
    </row>
    <row r="120" spans="1:19" s="4" customFormat="1" ht="129.75" customHeight="1" outlineLevel="1" x14ac:dyDescent="0.25">
      <c r="A120" s="372">
        <v>76</v>
      </c>
      <c r="B120" s="389" t="s">
        <v>219</v>
      </c>
      <c r="C120" s="389" t="s">
        <v>202</v>
      </c>
      <c r="D120" s="381" t="s">
        <v>463</v>
      </c>
      <c r="E120" s="381"/>
      <c r="F120" s="381" t="s">
        <v>441</v>
      </c>
      <c r="G120" s="383" t="s">
        <v>362</v>
      </c>
      <c r="H120" s="383" t="s">
        <v>220</v>
      </c>
      <c r="I120" s="399" t="s">
        <v>2</v>
      </c>
      <c r="J120" s="68">
        <v>29053320</v>
      </c>
      <c r="K120" s="60">
        <v>29053320</v>
      </c>
      <c r="L120" s="384">
        <v>1E-4</v>
      </c>
      <c r="M120" s="60"/>
      <c r="N120" s="60">
        <f>2000+3000</f>
        <v>5000</v>
      </c>
      <c r="O120" s="394">
        <f t="shared" si="6"/>
        <v>29053320</v>
      </c>
      <c r="P120" s="146" t="s">
        <v>221</v>
      </c>
      <c r="Q120" s="146"/>
      <c r="R120" s="15"/>
      <c r="S120" s="5"/>
    </row>
    <row r="121" spans="1:19" s="4" customFormat="1" ht="129.75" customHeight="1" outlineLevel="1" x14ac:dyDescent="0.25">
      <c r="A121" s="372">
        <v>77</v>
      </c>
      <c r="B121" s="389" t="s">
        <v>222</v>
      </c>
      <c r="C121" s="389" t="s">
        <v>202</v>
      </c>
      <c r="D121" s="381" t="s">
        <v>463</v>
      </c>
      <c r="E121" s="381"/>
      <c r="F121" s="381" t="s">
        <v>441</v>
      </c>
      <c r="G121" s="383" t="s">
        <v>362</v>
      </c>
      <c r="H121" s="383" t="s">
        <v>223</v>
      </c>
      <c r="I121" s="399" t="s">
        <v>2</v>
      </c>
      <c r="J121" s="68">
        <v>192064443</v>
      </c>
      <c r="K121" s="60">
        <f>95000000+97064443</f>
        <v>192064443</v>
      </c>
      <c r="L121" s="384">
        <v>1E-4</v>
      </c>
      <c r="M121" s="60">
        <f>65000000+20000000+30000000+10000000+10000000</f>
        <v>135000000</v>
      </c>
      <c r="N121" s="60">
        <f>16100+12200+23933</f>
        <v>52233</v>
      </c>
      <c r="O121" s="394">
        <f t="shared" si="6"/>
        <v>57064443</v>
      </c>
      <c r="P121" s="146" t="s">
        <v>224</v>
      </c>
      <c r="Q121" s="146"/>
      <c r="R121" s="15"/>
      <c r="S121" s="5"/>
    </row>
    <row r="122" spans="1:19" s="4" customFormat="1" ht="129.75" customHeight="1" outlineLevel="1" x14ac:dyDescent="0.25">
      <c r="A122" s="372">
        <v>78</v>
      </c>
      <c r="B122" s="389" t="s">
        <v>226</v>
      </c>
      <c r="C122" s="389" t="s">
        <v>202</v>
      </c>
      <c r="D122" s="381" t="s">
        <v>463</v>
      </c>
      <c r="E122" s="381"/>
      <c r="F122" s="381" t="s">
        <v>441</v>
      </c>
      <c r="G122" s="383" t="s">
        <v>362</v>
      </c>
      <c r="H122" s="383" t="s">
        <v>225</v>
      </c>
      <c r="I122" s="399" t="s">
        <v>2</v>
      </c>
      <c r="J122" s="68">
        <v>3469534</v>
      </c>
      <c r="K122" s="60">
        <v>3469534</v>
      </c>
      <c r="L122" s="384">
        <v>1E-4</v>
      </c>
      <c r="M122" s="60">
        <v>266887</v>
      </c>
      <c r="N122" s="60">
        <f>600+86</f>
        <v>686</v>
      </c>
      <c r="O122" s="394">
        <f t="shared" si="6"/>
        <v>3202647</v>
      </c>
      <c r="P122" s="146" t="s">
        <v>227</v>
      </c>
      <c r="Q122" s="146"/>
      <c r="R122" s="15"/>
      <c r="S122" s="5"/>
    </row>
    <row r="123" spans="1:19" s="4" customFormat="1" ht="129.75" customHeight="1" outlineLevel="1" x14ac:dyDescent="0.25">
      <c r="A123" s="372">
        <v>79</v>
      </c>
      <c r="B123" s="389" t="s">
        <v>228</v>
      </c>
      <c r="C123" s="389" t="s">
        <v>202</v>
      </c>
      <c r="D123" s="381" t="s">
        <v>463</v>
      </c>
      <c r="E123" s="381"/>
      <c r="F123" s="381" t="s">
        <v>441</v>
      </c>
      <c r="G123" s="383" t="s">
        <v>362</v>
      </c>
      <c r="H123" s="383" t="s">
        <v>229</v>
      </c>
      <c r="I123" s="399" t="s">
        <v>2</v>
      </c>
      <c r="J123" s="68">
        <v>11781702</v>
      </c>
      <c r="K123" s="60">
        <v>11781702</v>
      </c>
      <c r="L123" s="384">
        <v>1E-4</v>
      </c>
      <c r="M123" s="60">
        <f>906285+906285+906285+906285+906285+906285+906285+906285</f>
        <v>7250280</v>
      </c>
      <c r="N123" s="60">
        <f>3000+1500+1500</f>
        <v>6000</v>
      </c>
      <c r="O123" s="394">
        <f t="shared" si="6"/>
        <v>4531422</v>
      </c>
      <c r="P123" s="146" t="s">
        <v>230</v>
      </c>
      <c r="Q123" s="146"/>
      <c r="R123" s="15"/>
      <c r="S123" s="5"/>
    </row>
    <row r="124" spans="1:19" s="4" customFormat="1" ht="129.75" customHeight="1" outlineLevel="1" x14ac:dyDescent="0.25">
      <c r="A124" s="372">
        <v>0</v>
      </c>
      <c r="B124" s="389" t="s">
        <v>231</v>
      </c>
      <c r="C124" s="389" t="s">
        <v>202</v>
      </c>
      <c r="D124" s="381" t="s">
        <v>463</v>
      </c>
      <c r="E124" s="381"/>
      <c r="F124" s="381" t="s">
        <v>441</v>
      </c>
      <c r="G124" s="383" t="s">
        <v>362</v>
      </c>
      <c r="H124" s="383" t="s">
        <v>232</v>
      </c>
      <c r="I124" s="399" t="s">
        <v>2</v>
      </c>
      <c r="J124" s="68">
        <f>112000000+16200000</f>
        <v>128200000</v>
      </c>
      <c r="K124" s="60">
        <f>112000000+16200000</f>
        <v>128200000</v>
      </c>
      <c r="L124" s="384">
        <v>1E-4</v>
      </c>
      <c r="M124" s="60">
        <f>3000000+3000000+4000000</f>
        <v>10000000</v>
      </c>
      <c r="N124" s="60">
        <f>25640+12820+12820+12820</f>
        <v>64100</v>
      </c>
      <c r="O124" s="394">
        <f t="shared" si="6"/>
        <v>118200000</v>
      </c>
      <c r="P124" s="146" t="s">
        <v>233</v>
      </c>
      <c r="Q124" s="146"/>
      <c r="R124" s="15"/>
      <c r="S124" s="5"/>
    </row>
    <row r="125" spans="1:19" s="4" customFormat="1" ht="129.75" customHeight="1" outlineLevel="1" x14ac:dyDescent="0.25">
      <c r="A125" s="372">
        <v>81</v>
      </c>
      <c r="B125" s="389" t="s">
        <v>234</v>
      </c>
      <c r="C125" s="389" t="s">
        <v>202</v>
      </c>
      <c r="D125" s="381" t="s">
        <v>463</v>
      </c>
      <c r="E125" s="381"/>
      <c r="F125" s="381" t="s">
        <v>441</v>
      </c>
      <c r="G125" s="383" t="s">
        <v>362</v>
      </c>
      <c r="H125" s="383" t="s">
        <v>235</v>
      </c>
      <c r="I125" s="399" t="s">
        <v>2</v>
      </c>
      <c r="J125" s="68">
        <v>26127500</v>
      </c>
      <c r="K125" s="60">
        <v>26127500</v>
      </c>
      <c r="L125" s="384">
        <v>1E-4</v>
      </c>
      <c r="M125" s="60"/>
      <c r="N125" s="60">
        <f>4530</f>
        <v>4530</v>
      </c>
      <c r="O125" s="394">
        <f t="shared" si="6"/>
        <v>26127500</v>
      </c>
      <c r="P125" s="146" t="s">
        <v>236</v>
      </c>
      <c r="Q125" s="146"/>
      <c r="R125" s="15"/>
      <c r="S125" s="5"/>
    </row>
    <row r="126" spans="1:19" s="4" customFormat="1" ht="129.75" customHeight="1" outlineLevel="1" x14ac:dyDescent="0.25">
      <c r="A126" s="372">
        <v>82</v>
      </c>
      <c r="B126" s="389" t="s">
        <v>237</v>
      </c>
      <c r="C126" s="389" t="s">
        <v>202</v>
      </c>
      <c r="D126" s="381" t="s">
        <v>463</v>
      </c>
      <c r="E126" s="381"/>
      <c r="F126" s="381" t="s">
        <v>441</v>
      </c>
      <c r="G126" s="383" t="s">
        <v>362</v>
      </c>
      <c r="H126" s="383" t="s">
        <v>238</v>
      </c>
      <c r="I126" s="399" t="s">
        <v>2</v>
      </c>
      <c r="J126" s="68">
        <v>19297200</v>
      </c>
      <c r="K126" s="60">
        <f>10800000+3440000+1440000+3617200</f>
        <v>19297200</v>
      </c>
      <c r="L126" s="384">
        <v>1E-4</v>
      </c>
      <c r="M126" s="60"/>
      <c r="N126" s="60">
        <f>3000</f>
        <v>3000</v>
      </c>
      <c r="O126" s="394">
        <f t="shared" si="6"/>
        <v>19297200</v>
      </c>
      <c r="P126" s="146" t="s">
        <v>239</v>
      </c>
      <c r="Q126" s="146"/>
      <c r="R126" s="15"/>
      <c r="S126" s="5"/>
    </row>
    <row r="127" spans="1:19" s="4" customFormat="1" ht="129.75" customHeight="1" outlineLevel="1" x14ac:dyDescent="0.25">
      <c r="A127" s="372">
        <v>83</v>
      </c>
      <c r="B127" s="389" t="s">
        <v>240</v>
      </c>
      <c r="C127" s="389" t="s">
        <v>202</v>
      </c>
      <c r="D127" s="381" t="s">
        <v>463</v>
      </c>
      <c r="E127" s="381"/>
      <c r="F127" s="381" t="s">
        <v>441</v>
      </c>
      <c r="G127" s="383" t="s">
        <v>362</v>
      </c>
      <c r="H127" s="383" t="s">
        <v>225</v>
      </c>
      <c r="I127" s="399" t="s">
        <v>2</v>
      </c>
      <c r="J127" s="68">
        <v>2164000</v>
      </c>
      <c r="K127" s="60">
        <v>2164000</v>
      </c>
      <c r="L127" s="384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394">
        <f>K127-N127</f>
        <v>2162875.2000000002</v>
      </c>
      <c r="P127" s="146" t="s">
        <v>241</v>
      </c>
      <c r="Q127" s="146"/>
      <c r="R127" s="15"/>
      <c r="S127" s="5"/>
    </row>
    <row r="128" spans="1:19" s="4" customFormat="1" ht="129.75" customHeight="1" outlineLevel="1" x14ac:dyDescent="0.25">
      <c r="A128" s="372">
        <v>84</v>
      </c>
      <c r="B128" s="389" t="s">
        <v>242</v>
      </c>
      <c r="C128" s="389" t="s">
        <v>202</v>
      </c>
      <c r="D128" s="381" t="s">
        <v>463</v>
      </c>
      <c r="E128" s="381"/>
      <c r="F128" s="381" t="s">
        <v>441</v>
      </c>
      <c r="G128" s="383" t="s">
        <v>362</v>
      </c>
      <c r="H128" s="383" t="s">
        <v>243</v>
      </c>
      <c r="I128" s="399" t="s">
        <v>2</v>
      </c>
      <c r="J128" s="68">
        <v>253504102</v>
      </c>
      <c r="K128" s="60">
        <v>253504102</v>
      </c>
      <c r="L128" s="384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394">
        <f t="shared" ref="O128:O137" si="7">K128-M128</f>
        <v>78001262</v>
      </c>
      <c r="P128" s="146" t="s">
        <v>244</v>
      </c>
      <c r="Q128" s="146"/>
      <c r="R128" s="15"/>
      <c r="S128" s="5"/>
    </row>
    <row r="129" spans="1:19" s="4" customFormat="1" ht="129.75" customHeight="1" outlineLevel="1" x14ac:dyDescent="0.25">
      <c r="A129" s="372">
        <v>85</v>
      </c>
      <c r="B129" s="389" t="s">
        <v>245</v>
      </c>
      <c r="C129" s="389" t="s">
        <v>202</v>
      </c>
      <c r="D129" s="381" t="s">
        <v>463</v>
      </c>
      <c r="E129" s="381"/>
      <c r="F129" s="381" t="s">
        <v>441</v>
      </c>
      <c r="G129" s="383" t="s">
        <v>362</v>
      </c>
      <c r="H129" s="383" t="s">
        <v>243</v>
      </c>
      <c r="I129" s="399" t="s">
        <v>2</v>
      </c>
      <c r="J129" s="68">
        <v>76200000</v>
      </c>
      <c r="K129" s="60">
        <v>76200000</v>
      </c>
      <c r="L129" s="384">
        <v>1E-4</v>
      </c>
      <c r="M129" s="60"/>
      <c r="N129" s="60">
        <f>7620+5520</f>
        <v>13140</v>
      </c>
      <c r="O129" s="394">
        <f t="shared" si="7"/>
        <v>76200000</v>
      </c>
      <c r="P129" s="146" t="s">
        <v>246</v>
      </c>
      <c r="Q129" s="146"/>
      <c r="R129" s="15"/>
      <c r="S129" s="5"/>
    </row>
    <row r="130" spans="1:19" s="4" customFormat="1" ht="108" outlineLevel="1" x14ac:dyDescent="0.25">
      <c r="A130" s="372">
        <v>86</v>
      </c>
      <c r="B130" s="389" t="s">
        <v>247</v>
      </c>
      <c r="C130" s="389" t="s">
        <v>202</v>
      </c>
      <c r="D130" s="381" t="s">
        <v>463</v>
      </c>
      <c r="E130" s="381"/>
      <c r="F130" s="381" t="s">
        <v>441</v>
      </c>
      <c r="G130" s="383" t="s">
        <v>362</v>
      </c>
      <c r="H130" s="383" t="s">
        <v>248</v>
      </c>
      <c r="I130" s="399" t="s">
        <v>2</v>
      </c>
      <c r="J130" s="68">
        <v>50613970</v>
      </c>
      <c r="K130" s="60">
        <v>50613970</v>
      </c>
      <c r="L130" s="384">
        <v>1E-4</v>
      </c>
      <c r="M130" s="60"/>
      <c r="N130" s="60">
        <f>8800+8800</f>
        <v>17600</v>
      </c>
      <c r="O130" s="394">
        <f t="shared" si="7"/>
        <v>50613970</v>
      </c>
      <c r="P130" s="146" t="s">
        <v>249</v>
      </c>
      <c r="Q130" s="146"/>
      <c r="R130" s="15"/>
      <c r="S130" s="5"/>
    </row>
    <row r="131" spans="1:19" s="4" customFormat="1" ht="108" outlineLevel="1" x14ac:dyDescent="0.25">
      <c r="A131" s="372">
        <v>87</v>
      </c>
      <c r="B131" s="389" t="s">
        <v>250</v>
      </c>
      <c r="C131" s="389" t="s">
        <v>202</v>
      </c>
      <c r="D131" s="381" t="s">
        <v>463</v>
      </c>
      <c r="E131" s="381"/>
      <c r="F131" s="381" t="s">
        <v>441</v>
      </c>
      <c r="G131" s="383" t="s">
        <v>362</v>
      </c>
      <c r="H131" s="383" t="s">
        <v>251</v>
      </c>
      <c r="I131" s="399" t="s">
        <v>2</v>
      </c>
      <c r="J131" s="68">
        <v>184740000</v>
      </c>
      <c r="K131" s="60">
        <v>184740000</v>
      </c>
      <c r="L131" s="384">
        <v>1E-4</v>
      </c>
      <c r="M131" s="60"/>
      <c r="N131" s="60">
        <f>31700</f>
        <v>31700</v>
      </c>
      <c r="O131" s="394">
        <f t="shared" si="7"/>
        <v>184740000</v>
      </c>
      <c r="P131" s="146" t="s">
        <v>252</v>
      </c>
      <c r="Q131" s="146"/>
      <c r="R131" s="15"/>
      <c r="S131" s="5"/>
    </row>
    <row r="132" spans="1:19" s="4" customFormat="1" ht="108" outlineLevel="1" x14ac:dyDescent="0.25">
      <c r="A132" s="372">
        <v>88</v>
      </c>
      <c r="B132" s="389" t="s">
        <v>253</v>
      </c>
      <c r="C132" s="389" t="s">
        <v>202</v>
      </c>
      <c r="D132" s="381" t="s">
        <v>463</v>
      </c>
      <c r="E132" s="381"/>
      <c r="F132" s="381" t="s">
        <v>441</v>
      </c>
      <c r="G132" s="383" t="s">
        <v>362</v>
      </c>
      <c r="H132" s="383" t="s">
        <v>254</v>
      </c>
      <c r="I132" s="399" t="s">
        <v>2</v>
      </c>
      <c r="J132" s="68">
        <v>219559596</v>
      </c>
      <c r="K132" s="60">
        <v>219559596</v>
      </c>
      <c r="L132" s="384">
        <v>1E-4</v>
      </c>
      <c r="M132" s="60">
        <f>16889200+16889200+185781196</f>
        <v>219559596</v>
      </c>
      <c r="N132" s="60">
        <f>5294+5294+27550+5533+1000</f>
        <v>44671</v>
      </c>
      <c r="O132" s="394">
        <f t="shared" si="7"/>
        <v>0</v>
      </c>
      <c r="P132" s="146" t="s">
        <v>438</v>
      </c>
      <c r="Q132" s="146"/>
      <c r="R132" s="15"/>
      <c r="S132" s="5"/>
    </row>
    <row r="133" spans="1:19" s="4" customFormat="1" ht="108" outlineLevel="1" x14ac:dyDescent="0.25">
      <c r="A133" s="372">
        <v>89</v>
      </c>
      <c r="B133" s="389" t="s">
        <v>255</v>
      </c>
      <c r="C133" s="389" t="s">
        <v>202</v>
      </c>
      <c r="D133" s="381" t="s">
        <v>463</v>
      </c>
      <c r="E133" s="381"/>
      <c r="F133" s="381" t="s">
        <v>441</v>
      </c>
      <c r="G133" s="383" t="s">
        <v>362</v>
      </c>
      <c r="H133" s="383" t="s">
        <v>251</v>
      </c>
      <c r="I133" s="399" t="s">
        <v>2</v>
      </c>
      <c r="J133" s="68">
        <v>29081500</v>
      </c>
      <c r="K133" s="60">
        <v>29081500</v>
      </c>
      <c r="L133" s="384">
        <v>1E-4</v>
      </c>
      <c r="M133" s="60"/>
      <c r="N133" s="60">
        <f>1000+4000+3000+1000+1000</f>
        <v>10000</v>
      </c>
      <c r="O133" s="394">
        <f t="shared" si="7"/>
        <v>29081500</v>
      </c>
      <c r="P133" s="146" t="s">
        <v>256</v>
      </c>
      <c r="Q133" s="146"/>
      <c r="R133" s="15"/>
      <c r="S133" s="5"/>
    </row>
    <row r="134" spans="1:19" s="4" customFormat="1" ht="123" customHeight="1" outlineLevel="1" x14ac:dyDescent="0.25">
      <c r="A134" s="372">
        <v>90</v>
      </c>
      <c r="B134" s="389" t="s">
        <v>257</v>
      </c>
      <c r="C134" s="389" t="s">
        <v>202</v>
      </c>
      <c r="D134" s="381" t="s">
        <v>463</v>
      </c>
      <c r="E134" s="381"/>
      <c r="F134" s="381" t="s">
        <v>441</v>
      </c>
      <c r="G134" s="383" t="s">
        <v>362</v>
      </c>
      <c r="H134" s="383" t="s">
        <v>258</v>
      </c>
      <c r="I134" s="399" t="s">
        <v>2</v>
      </c>
      <c r="J134" s="68">
        <v>12060940</v>
      </c>
      <c r="K134" s="79">
        <v>12060940</v>
      </c>
      <c r="L134" s="384">
        <v>1E-4</v>
      </c>
      <c r="M134" s="60"/>
      <c r="N134" s="60">
        <v>2170</v>
      </c>
      <c r="O134" s="394">
        <f t="shared" si="7"/>
        <v>12060940</v>
      </c>
      <c r="P134" s="146" t="s">
        <v>259</v>
      </c>
      <c r="Q134" s="146"/>
      <c r="R134" s="15"/>
      <c r="S134" s="5"/>
    </row>
    <row r="135" spans="1:19" s="4" customFormat="1" ht="32.25" customHeight="1" outlineLevel="1" x14ac:dyDescent="0.25">
      <c r="A135" s="372">
        <v>91</v>
      </c>
      <c r="B135" s="510" t="s">
        <v>456</v>
      </c>
      <c r="C135" s="512"/>
      <c r="D135" s="521" t="s">
        <v>463</v>
      </c>
      <c r="E135" s="381"/>
      <c r="F135" s="399"/>
      <c r="G135" s="33"/>
      <c r="H135" s="399" t="s">
        <v>457</v>
      </c>
      <c r="I135" s="399" t="s">
        <v>2</v>
      </c>
      <c r="J135" s="412">
        <v>1000000000</v>
      </c>
      <c r="K135" s="412">
        <v>1000000000</v>
      </c>
      <c r="L135" s="62"/>
      <c r="M135" s="412"/>
      <c r="N135" s="412"/>
      <c r="O135" s="386">
        <f t="shared" si="7"/>
        <v>1000000000</v>
      </c>
      <c r="P135" s="140"/>
      <c r="Q135" s="140"/>
      <c r="R135" s="15"/>
      <c r="S135" s="5"/>
    </row>
    <row r="136" spans="1:19" s="4" customFormat="1" ht="32.25" customHeight="1" outlineLevel="1" x14ac:dyDescent="0.25">
      <c r="A136" s="372">
        <v>92</v>
      </c>
      <c r="B136" s="513"/>
      <c r="C136" s="515"/>
      <c r="D136" s="522"/>
      <c r="E136" s="391"/>
      <c r="F136" s="399"/>
      <c r="G136" s="33"/>
      <c r="H136" s="399" t="s">
        <v>458</v>
      </c>
      <c r="I136" s="399" t="s">
        <v>2</v>
      </c>
      <c r="J136" s="401">
        <v>750000000</v>
      </c>
      <c r="K136" s="412">
        <v>750000000</v>
      </c>
      <c r="L136" s="66">
        <v>0.05</v>
      </c>
      <c r="M136" s="412">
        <v>34125868.899999999</v>
      </c>
      <c r="N136" s="412">
        <f>18833145+17847821</f>
        <v>36680966</v>
      </c>
      <c r="O136" s="386">
        <f t="shared" si="7"/>
        <v>715874131.10000002</v>
      </c>
      <c r="P136" s="378"/>
      <c r="Q136" s="378"/>
      <c r="R136" s="15"/>
      <c r="S136" s="5"/>
    </row>
    <row r="137" spans="1:19" s="4" customFormat="1" ht="27" outlineLevel="1" x14ac:dyDescent="0.25">
      <c r="A137" s="372">
        <v>93</v>
      </c>
      <c r="B137" s="513"/>
      <c r="C137" s="515"/>
      <c r="D137" s="522"/>
      <c r="E137" s="391"/>
      <c r="F137" s="399" t="s">
        <v>441</v>
      </c>
      <c r="G137" s="33"/>
      <c r="H137" s="399" t="s">
        <v>459</v>
      </c>
      <c r="I137" s="399" t="s">
        <v>2</v>
      </c>
      <c r="J137" s="64">
        <v>15000000000</v>
      </c>
      <c r="K137" s="412">
        <v>15000000000</v>
      </c>
      <c r="L137" s="66">
        <v>0.115</v>
      </c>
      <c r="M137" s="412">
        <f>3720016988+5279983000</f>
        <v>8999999988</v>
      </c>
      <c r="N137" s="412">
        <f>3370287993.6+85295214+22726326+29089436+33479452+24919706+27037427+32410959+90000000+78736184+85295214+84368092+44876712+6509569+45369863</f>
        <v>4060402147.5999999</v>
      </c>
      <c r="O137" s="386">
        <f t="shared" si="7"/>
        <v>6000000012</v>
      </c>
      <c r="P137" s="378" t="s">
        <v>76</v>
      </c>
      <c r="Q137" s="378" t="s">
        <v>498</v>
      </c>
      <c r="R137" s="15"/>
      <c r="S137" s="5"/>
    </row>
    <row r="138" spans="1:19" s="2" customFormat="1" ht="33" customHeight="1" outlineLevel="1" thickBot="1" x14ac:dyDescent="0.3">
      <c r="A138" s="372">
        <v>94</v>
      </c>
      <c r="B138" s="516"/>
      <c r="C138" s="518"/>
      <c r="D138" s="538"/>
      <c r="E138" s="406"/>
      <c r="F138" s="194"/>
      <c r="G138" s="430"/>
      <c r="H138" s="194" t="s">
        <v>460</v>
      </c>
      <c r="I138" s="194" t="s">
        <v>2</v>
      </c>
      <c r="J138" s="40">
        <v>60235505470</v>
      </c>
      <c r="K138" s="40">
        <v>60235505470</v>
      </c>
      <c r="L138" s="100">
        <v>1.7500000000000002E-2</v>
      </c>
      <c r="M138" s="307">
        <f>3183233220+212876480+215918030+213513700+216535610+214152800+214471030+217463440+215112920+219846551+222811203+220495152+223439815+221362202</f>
        <v>6011232153</v>
      </c>
      <c r="N138" s="60">
        <f>1286100840+85079124+82037574+84441904+81419994+83802804+83484574+80492164+82842684+79870064+82516966+81963767+74281621+82240367+79275714+81591765+78647103+80724716</f>
        <v>2670813745</v>
      </c>
      <c r="O138" s="386">
        <f>K138-M138</f>
        <v>54224273317</v>
      </c>
      <c r="P138" s="140"/>
      <c r="Q138" s="194"/>
      <c r="R138" s="1"/>
      <c r="S138" s="5"/>
    </row>
    <row r="139" spans="1:19" s="9" customFormat="1" ht="30" customHeight="1" x14ac:dyDescent="0.25">
      <c r="A139" s="585" t="s">
        <v>437</v>
      </c>
      <c r="B139" s="586"/>
      <c r="C139" s="587"/>
      <c r="D139" s="309"/>
      <c r="E139" s="309"/>
      <c r="F139" s="80"/>
      <c r="G139" s="80"/>
      <c r="H139" s="80"/>
      <c r="I139" s="315" t="s">
        <v>29</v>
      </c>
      <c r="J139" s="10">
        <f>SUMIF($I$114:$I$138,I139,$J$114:$J$138)</f>
        <v>0</v>
      </c>
      <c r="K139" s="13">
        <f>SUMIF($I$104:$I$138,I139,$K$104:$K$138)</f>
        <v>0</v>
      </c>
      <c r="L139" s="13"/>
      <c r="M139" s="14">
        <f>SUMIF($I$114:$I$138,I139,$M$114:$M$138)</f>
        <v>0</v>
      </c>
      <c r="N139" s="13">
        <f>SUMIF($I$104:$I$138,I139,$N$104:$N$138)</f>
        <v>0</v>
      </c>
      <c r="O139" s="13">
        <f>SUMIF($I$104:$I$138,I139,$O$104:$O$138)</f>
        <v>0</v>
      </c>
      <c r="P139" s="147"/>
      <c r="Q139" s="152"/>
      <c r="R139" s="8"/>
      <c r="S139" s="5"/>
    </row>
    <row r="140" spans="1:19" s="9" customFormat="1" ht="27" customHeight="1" x14ac:dyDescent="0.25">
      <c r="A140" s="585"/>
      <c r="B140" s="586"/>
      <c r="C140" s="587"/>
      <c r="D140" s="41"/>
      <c r="E140" s="41"/>
      <c r="F140" s="54"/>
      <c r="G140" s="54"/>
      <c r="H140" s="54"/>
      <c r="I140" s="316" t="s">
        <v>2</v>
      </c>
      <c r="J140" s="11">
        <f>SUMIF($I$114:$I$138,I140,$J$114:$J$138)</f>
        <v>78996968456</v>
      </c>
      <c r="K140" s="11">
        <f>SUMIF($I$114:$I$138,I140,$K$114:$K$138)</f>
        <v>78996968456</v>
      </c>
      <c r="L140" s="11"/>
      <c r="M140" s="11">
        <f>SUMIF($I$114:$I$138,I140,$M$114:$M$138)</f>
        <v>15768473650.1</v>
      </c>
      <c r="N140" s="11">
        <f>SUMIF($I$114:$I$138,I140,$N$114:$N$138)</f>
        <v>6768439263.7999992</v>
      </c>
      <c r="O140" s="11">
        <f>SUMIF($I$114:$I$138,I140,$O$114:$O$138)</f>
        <v>63229824528.099998</v>
      </c>
      <c r="P140" s="148"/>
      <c r="Q140" s="148"/>
      <c r="R140" s="8"/>
      <c r="S140" s="5"/>
    </row>
    <row r="141" spans="1:19" s="9" customFormat="1" ht="28.5" customHeight="1" x14ac:dyDescent="0.25">
      <c r="A141" s="585"/>
      <c r="B141" s="586"/>
      <c r="C141" s="587"/>
      <c r="D141" s="41"/>
      <c r="E141" s="41"/>
      <c r="F141" s="54"/>
      <c r="G141" s="54"/>
      <c r="H141" s="54"/>
      <c r="I141" s="316" t="s">
        <v>51</v>
      </c>
      <c r="J141" s="11">
        <f>SUMIF($I$114:$I$138,I141,$J$114:$J$138)</f>
        <v>0</v>
      </c>
      <c r="K141" s="11">
        <f>SUMIF($I$104:$I$138,I141,$K$104:$K$138)</f>
        <v>0</v>
      </c>
      <c r="L141" s="11"/>
      <c r="M141" s="11">
        <f>SUMIF($I$104:$I$138,I141,$M$104:$M$138)</f>
        <v>0</v>
      </c>
      <c r="N141" s="11">
        <f>SUMIF($I$104:$I$138,I141,$N$104:$N$138)</f>
        <v>0</v>
      </c>
      <c r="O141" s="11">
        <f>SUMIF($I$104:$I$138,I141,$O$104:$O$138)</f>
        <v>0</v>
      </c>
      <c r="P141" s="148"/>
      <c r="Q141" s="148"/>
      <c r="R141" s="8"/>
      <c r="S141" s="5"/>
    </row>
    <row r="142" spans="1:19" s="9" customFormat="1" ht="30" customHeight="1" thickBot="1" x14ac:dyDescent="0.3">
      <c r="A142" s="588"/>
      <c r="B142" s="589"/>
      <c r="C142" s="590"/>
      <c r="D142" s="306"/>
      <c r="E142" s="306"/>
      <c r="F142" s="57"/>
      <c r="G142" s="57"/>
      <c r="H142" s="57"/>
      <c r="I142" s="303" t="s">
        <v>71</v>
      </c>
      <c r="J142" s="12">
        <f>SUMIF($I$114:$I$138,I142,$J$114:$J$138)</f>
        <v>0</v>
      </c>
      <c r="K142" s="12">
        <f>SUMIF($I$104:$I$138,I142,$K$104:$K$138)</f>
        <v>0</v>
      </c>
      <c r="L142" s="12"/>
      <c r="M142" s="12">
        <f>SUMIF($I$104:$I$138,I142,$M$104:$M$138)</f>
        <v>0</v>
      </c>
      <c r="N142" s="12">
        <f>SUMIF($I$104:$I$138,I142,$N$104:$N$138)</f>
        <v>0</v>
      </c>
      <c r="O142" s="12">
        <f>SUMIF($I$104:$I$138,I142,$O$104:$O$138)</f>
        <v>0</v>
      </c>
      <c r="P142" s="150"/>
      <c r="Q142" s="150"/>
      <c r="R142" s="8"/>
      <c r="S142" s="5"/>
    </row>
    <row r="143" spans="1:19" s="9" customFormat="1" ht="15.75" customHeight="1" x14ac:dyDescent="0.25">
      <c r="A143" s="591" t="s">
        <v>260</v>
      </c>
      <c r="B143" s="592"/>
      <c r="C143" s="593"/>
      <c r="D143" s="309"/>
      <c r="E143" s="309"/>
      <c r="F143" s="80"/>
      <c r="G143" s="80"/>
      <c r="H143" s="80"/>
      <c r="I143" s="315" t="s">
        <v>29</v>
      </c>
      <c r="J143" s="14">
        <f t="shared" ref="J143:O146" si="8">J46+J57+J68+J100+J110+J139</f>
        <v>340755742.28000003</v>
      </c>
      <c r="K143" s="14">
        <f t="shared" si="8"/>
        <v>141973178.56</v>
      </c>
      <c r="L143" s="14">
        <f t="shared" si="8"/>
        <v>0</v>
      </c>
      <c r="M143" s="14">
        <f t="shared" si="8"/>
        <v>54333502.78982874</v>
      </c>
      <c r="N143" s="14">
        <f t="shared" si="8"/>
        <v>20831094.674242474</v>
      </c>
      <c r="O143" s="14">
        <f t="shared" si="8"/>
        <v>88401244.200171262</v>
      </c>
      <c r="P143" s="152"/>
      <c r="Q143" s="152"/>
      <c r="R143" s="8"/>
      <c r="S143" s="5"/>
    </row>
    <row r="144" spans="1:19" s="9" customFormat="1" ht="17.25" customHeight="1" x14ac:dyDescent="0.25">
      <c r="A144" s="585"/>
      <c r="B144" s="586"/>
      <c r="C144" s="587"/>
      <c r="D144" s="41"/>
      <c r="E144" s="41"/>
      <c r="F144" s="54"/>
      <c r="G144" s="54"/>
      <c r="H144" s="54"/>
      <c r="I144" s="316" t="s">
        <v>2</v>
      </c>
      <c r="J144" s="14">
        <f t="shared" si="8"/>
        <v>252916107674.10001</v>
      </c>
      <c r="K144" s="14">
        <f t="shared" si="8"/>
        <v>272375439489.41</v>
      </c>
      <c r="L144" s="14">
        <f t="shared" si="8"/>
        <v>0</v>
      </c>
      <c r="M144" s="14">
        <f t="shared" si="8"/>
        <v>111907252569.54471</v>
      </c>
      <c r="N144" s="14">
        <f t="shared" si="8"/>
        <v>56572217515.969482</v>
      </c>
      <c r="O144" s="14">
        <f t="shared" si="8"/>
        <v>160469516642.06528</v>
      </c>
      <c r="P144" s="148"/>
      <c r="Q144" s="148"/>
      <c r="R144" s="8"/>
      <c r="S144" s="5"/>
    </row>
    <row r="145" spans="1:19" s="9" customFormat="1" ht="15" customHeight="1" x14ac:dyDescent="0.25">
      <c r="A145" s="585"/>
      <c r="B145" s="586"/>
      <c r="C145" s="587"/>
      <c r="D145" s="41"/>
      <c r="E145" s="41"/>
      <c r="F145" s="54"/>
      <c r="G145" s="54"/>
      <c r="H145" s="54"/>
      <c r="I145" s="316" t="s">
        <v>51</v>
      </c>
      <c r="J145" s="14">
        <f t="shared" si="8"/>
        <v>481140620.32000005</v>
      </c>
      <c r="K145" s="14">
        <f t="shared" si="8"/>
        <v>360813919.96000004</v>
      </c>
      <c r="L145" s="14">
        <f t="shared" si="8"/>
        <v>0</v>
      </c>
      <c r="M145" s="14">
        <f t="shared" si="8"/>
        <v>126852309.33878487</v>
      </c>
      <c r="N145" s="14">
        <f t="shared" si="8"/>
        <v>69349917.001586109</v>
      </c>
      <c r="O145" s="14">
        <f t="shared" si="8"/>
        <v>233961610.62121516</v>
      </c>
      <c r="P145" s="148"/>
      <c r="Q145" s="148"/>
      <c r="R145" s="8"/>
      <c r="S145" s="5"/>
    </row>
    <row r="146" spans="1:19" s="9" customFormat="1" ht="25.5" customHeight="1" x14ac:dyDescent="0.25">
      <c r="A146" s="585"/>
      <c r="B146" s="586"/>
      <c r="C146" s="587"/>
      <c r="D146" s="41"/>
      <c r="E146" s="41"/>
      <c r="F146" s="54"/>
      <c r="G146" s="54"/>
      <c r="H146" s="54"/>
      <c r="I146" s="316" t="s">
        <v>71</v>
      </c>
      <c r="J146" s="14">
        <f t="shared" si="8"/>
        <v>31777311969</v>
      </c>
      <c r="K146" s="14">
        <f t="shared" si="8"/>
        <v>31859249643</v>
      </c>
      <c r="L146" s="14">
        <f t="shared" si="8"/>
        <v>0</v>
      </c>
      <c r="M146" s="14">
        <f t="shared" si="8"/>
        <v>12315758590.394199</v>
      </c>
      <c r="N146" s="14">
        <f t="shared" si="8"/>
        <v>3583254067.7850084</v>
      </c>
      <c r="O146" s="14">
        <f t="shared" si="8"/>
        <v>19543491052.605801</v>
      </c>
      <c r="P146" s="149"/>
      <c r="Q146" s="149"/>
      <c r="R146" s="8"/>
      <c r="S146" s="5"/>
    </row>
    <row r="147" spans="1:19" s="9" customFormat="1" ht="15" customHeight="1" thickBot="1" x14ac:dyDescent="0.3">
      <c r="A147" s="588"/>
      <c r="B147" s="589"/>
      <c r="C147" s="590"/>
      <c r="D147" s="306"/>
      <c r="E147" s="306"/>
      <c r="F147" s="57"/>
      <c r="G147" s="57"/>
      <c r="H147" s="57"/>
      <c r="I147" s="316" t="s">
        <v>61</v>
      </c>
      <c r="J147" s="14">
        <f>J50</f>
        <v>24086688</v>
      </c>
      <c r="K147" s="14">
        <f t="shared" ref="K147:O147" si="9">K50</f>
        <v>18384172.012149811</v>
      </c>
      <c r="L147" s="14">
        <f t="shared" si="9"/>
        <v>0</v>
      </c>
      <c r="M147" s="14">
        <f t="shared" si="9"/>
        <v>4356879.5040346272</v>
      </c>
      <c r="N147" s="14">
        <f t="shared" si="9"/>
        <v>2915190.8613051148</v>
      </c>
      <c r="O147" s="14">
        <f t="shared" si="9"/>
        <v>14027292.508115182</v>
      </c>
      <c r="P147" s="149"/>
      <c r="Q147" s="149"/>
      <c r="R147" s="8"/>
      <c r="S147" s="5"/>
    </row>
    <row r="148" spans="1:19" ht="51" customHeight="1" thickBot="1" x14ac:dyDescent="0.3">
      <c r="A148" s="81">
        <v>95</v>
      </c>
      <c r="B148" s="82" t="s">
        <v>261</v>
      </c>
      <c r="C148" s="83" t="s">
        <v>262</v>
      </c>
      <c r="D148" s="406" t="s">
        <v>463</v>
      </c>
      <c r="E148" s="406"/>
      <c r="F148" s="406" t="s">
        <v>441</v>
      </c>
      <c r="G148" s="406" t="s">
        <v>363</v>
      </c>
      <c r="H148" s="406" t="s">
        <v>263</v>
      </c>
      <c r="I148" s="83" t="s">
        <v>2</v>
      </c>
      <c r="J148" s="84">
        <f>834800635300+144000000000+32000000000+132000000000+3500000000+14000000000+2900000000+4000000000</f>
        <v>1167200635300</v>
      </c>
      <c r="K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8" s="102">
        <v>1E-4</v>
      </c>
      <c r="M148" s="85"/>
      <c r="N148" s="85"/>
      <c r="O148" s="86">
        <f>K148-M148</f>
        <v>1161789822801.3999</v>
      </c>
      <c r="P148" s="153" t="s">
        <v>76</v>
      </c>
      <c r="Q148" s="153"/>
      <c r="S148" s="9"/>
    </row>
    <row r="149" spans="1:19" ht="17.25" x14ac:dyDescent="0.3">
      <c r="B149" s="87" t="s">
        <v>2</v>
      </c>
      <c r="C149" s="88"/>
      <c r="I149" s="90"/>
      <c r="J149" s="16"/>
      <c r="K149" s="16"/>
      <c r="O149" s="92"/>
      <c r="P149" s="18"/>
      <c r="Q149" s="18"/>
    </row>
    <row r="150" spans="1:19" ht="17.25" x14ac:dyDescent="0.3">
      <c r="B150" s="87" t="s">
        <v>51</v>
      </c>
      <c r="C150" s="88">
        <v>387.53</v>
      </c>
      <c r="J150" s="16"/>
      <c r="K150" s="17"/>
      <c r="L150" s="93"/>
      <c r="N150" s="16"/>
      <c r="O150" s="94"/>
      <c r="P150" s="95"/>
      <c r="Q150" s="95"/>
    </row>
    <row r="151" spans="1:19" ht="17.25" x14ac:dyDescent="0.3">
      <c r="B151" s="87" t="s">
        <v>71</v>
      </c>
      <c r="C151" s="96">
        <v>2.6680000000000001</v>
      </c>
      <c r="K151" s="16"/>
      <c r="N151" s="16"/>
      <c r="O151" s="154"/>
      <c r="P151" s="97"/>
      <c r="Q151" s="97"/>
    </row>
    <row r="152" spans="1:19" ht="17.25" x14ac:dyDescent="0.3">
      <c r="B152" s="87" t="s">
        <v>29</v>
      </c>
      <c r="C152" s="88">
        <v>429.38</v>
      </c>
      <c r="K152" s="17"/>
      <c r="N152" s="16"/>
      <c r="O152" s="17"/>
      <c r="P152" s="97"/>
      <c r="Q152" s="97"/>
    </row>
    <row r="153" spans="1:19" ht="17.25" x14ac:dyDescent="0.3">
      <c r="B153" s="87" t="s">
        <v>61</v>
      </c>
      <c r="C153" s="88">
        <v>522.33000000000004</v>
      </c>
      <c r="N153" s="18"/>
      <c r="O153" s="16"/>
      <c r="P153" s="5"/>
      <c r="Q153" s="5"/>
    </row>
    <row r="154" spans="1:19" x14ac:dyDescent="0.25">
      <c r="P154" s="5"/>
      <c r="Q154" s="5"/>
    </row>
    <row r="155" spans="1:19" x14ac:dyDescent="0.25">
      <c r="O155" s="19"/>
    </row>
    <row r="156" spans="1:19" x14ac:dyDescent="0.25">
      <c r="K156" s="154"/>
      <c r="N156" s="16"/>
      <c r="O156" s="154"/>
    </row>
    <row r="157" spans="1:19" x14ac:dyDescent="0.25">
      <c r="O157" s="16"/>
    </row>
    <row r="158" spans="1:19" x14ac:dyDescent="0.25">
      <c r="O158" s="16"/>
    </row>
    <row r="162" spans="2:19" x14ac:dyDescent="0.25">
      <c r="O162" s="16"/>
    </row>
    <row r="163" spans="2:19" s="17" customFormat="1" x14ac:dyDescent="0.25">
      <c r="B163" s="20"/>
      <c r="C163" s="6"/>
      <c r="D163" s="6"/>
      <c r="E163" s="6"/>
      <c r="F163" s="6"/>
      <c r="G163" s="89"/>
      <c r="H163" s="6"/>
      <c r="I163" s="6"/>
      <c r="J163" s="6"/>
      <c r="K163" s="6"/>
      <c r="L163" s="91"/>
      <c r="M163" s="6"/>
      <c r="N163" s="6"/>
      <c r="O163" s="16"/>
      <c r="P163" s="6"/>
      <c r="Q163" s="6"/>
      <c r="R163" s="5"/>
      <c r="S163" s="6"/>
    </row>
    <row r="164" spans="2:19" x14ac:dyDescent="0.25">
      <c r="S164" s="17"/>
    </row>
  </sheetData>
  <protectedRanges>
    <protectedRange algorithmName="SHA-512" hashValue="2hnhy85Hze6pXZTujHMyiGA7lE9yapdzAMEgpTAQUbEvX5wkbgVJAYj8efzABUddHb+HHBXm+QO7FFQ7DdcL0Q==" saltValue="/3Se5MhqYIbXZuII16lL6A==" spinCount="100000" sqref="P72:Q72 A104:J109 K104:O109 A72:O72 P104:Q109" name="Nona_1"/>
    <protectedRange algorithmName="SHA-512" hashValue="vw/tfZfxCvSE0U6Hm2G3C/Aj3bUp3KdD+IHhHinfC+crRPhv3Uapv1zQ/dMQFE5wwqt30lhFdhsH6enTApEPhg==" saltValue="AJSG7Dc7ySbRZF9wPd6fsA==" spinCount="100000" sqref="P97:Q99 A61:N62 A97:N99 P61:Q62" name="Nara_1"/>
    <protectedRange algorithmName="SHA-512" hashValue="R0m7mG/o0t2+7dbQTzM5iQkFX2amgAS+iAGJudQnnweh07e6LDAbSuhvcwbzcp7drP+HIG4d/wHfMCXiBXmkow==" saltValue="hXh6Ce3lteSj/cvmR3BSBw==" spinCount="100000" sqref="P138:Q138 P95:Q97 P148:Q148 H138:N138 A95:N97 A148:N148 A114:N134 P114:Q134" name="Narine_1"/>
    <protectedRange password="C670" sqref="A64:Q67 A79:J90 A73:J76 K79:O90 K73:Q76 H137:Q137 P79:Q90" name="Maria_1"/>
  </protectedRanges>
  <mergeCells count="118">
    <mergeCell ref="D135:D138"/>
    <mergeCell ref="A139:C142"/>
    <mergeCell ref="A143:C147"/>
    <mergeCell ref="P42:P43"/>
    <mergeCell ref="P52:P53"/>
    <mergeCell ref="P55:P56"/>
    <mergeCell ref="P80:P82"/>
    <mergeCell ref="P85:P86"/>
    <mergeCell ref="P91:P92"/>
    <mergeCell ref="A100:C103"/>
    <mergeCell ref="C105:C107"/>
    <mergeCell ref="A110:C113"/>
    <mergeCell ref="B135:C138"/>
    <mergeCell ref="A91:A92"/>
    <mergeCell ref="B91:B92"/>
    <mergeCell ref="C91:C92"/>
    <mergeCell ref="D91:D92"/>
    <mergeCell ref="G91:G92"/>
    <mergeCell ref="H91:H92"/>
    <mergeCell ref="A85:A86"/>
    <mergeCell ref="B85:B86"/>
    <mergeCell ref="C85:C86"/>
    <mergeCell ref="D85:D86"/>
    <mergeCell ref="G85:G86"/>
    <mergeCell ref="P23:P24"/>
    <mergeCell ref="P25:P26"/>
    <mergeCell ref="B31:B32"/>
    <mergeCell ref="P34:P36"/>
    <mergeCell ref="P17:P18"/>
    <mergeCell ref="P19:P20"/>
    <mergeCell ref="P21:P22"/>
    <mergeCell ref="A1:P1"/>
    <mergeCell ref="A2:P2"/>
    <mergeCell ref="P9:P10"/>
    <mergeCell ref="P11:P12"/>
    <mergeCell ref="P13:P14"/>
    <mergeCell ref="P15:P16"/>
    <mergeCell ref="A31:A32"/>
    <mergeCell ref="C31:C32"/>
    <mergeCell ref="D31:D32"/>
    <mergeCell ref="E31:E32"/>
    <mergeCell ref="G31:G32"/>
    <mergeCell ref="H31:H32"/>
    <mergeCell ref="C27:C28"/>
    <mergeCell ref="D27:D28"/>
    <mergeCell ref="E27:E28"/>
    <mergeCell ref="C29:C30"/>
    <mergeCell ref="D29:D30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A55:A56"/>
    <mergeCell ref="C55:C56"/>
    <mergeCell ref="A42:A43"/>
    <mergeCell ref="C42:C43"/>
    <mergeCell ref="E42:E43"/>
    <mergeCell ref="G42:G43"/>
    <mergeCell ref="H42:H43"/>
    <mergeCell ref="A34:A36"/>
    <mergeCell ref="C34:C36"/>
    <mergeCell ref="D34:D36"/>
    <mergeCell ref="E34:E36"/>
    <mergeCell ref="G34:G36"/>
    <mergeCell ref="E29:E30"/>
    <mergeCell ref="H23:H24"/>
    <mergeCell ref="A25:A26"/>
    <mergeCell ref="G25:G26"/>
    <mergeCell ref="H25:H26"/>
    <mergeCell ref="A21:A22"/>
    <mergeCell ref="G21:G22"/>
    <mergeCell ref="H21:H22"/>
    <mergeCell ref="A23:A24"/>
    <mergeCell ref="C23:C26"/>
    <mergeCell ref="D23:D26"/>
    <mergeCell ref="E23:E26"/>
    <mergeCell ref="G23:G24"/>
    <mergeCell ref="A19:A20"/>
    <mergeCell ref="C19:C22"/>
    <mergeCell ref="D19:D22"/>
    <mergeCell ref="E19:E22"/>
    <mergeCell ref="G19:G20"/>
    <mergeCell ref="H19:H20"/>
    <mergeCell ref="A17:A18"/>
    <mergeCell ref="C17:C18"/>
    <mergeCell ref="D17:D18"/>
    <mergeCell ref="E17:E18"/>
    <mergeCell ref="G17:G18"/>
    <mergeCell ref="H17:H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A11:A12"/>
    <mergeCell ref="C11:C12"/>
    <mergeCell ref="E11:E12"/>
    <mergeCell ref="G11:G12"/>
    <mergeCell ref="H11:H1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11" priority="6" operator="notEqual">
      <formula>#REF!</formula>
    </cfRule>
  </conditionalFormatting>
  <conditionalFormatting sqref="K93 K6:K33 K35:K44">
    <cfRule type="cellIs" dxfId="10" priority="5" operator="notEqual">
      <formula>#REF!</formula>
    </cfRule>
  </conditionalFormatting>
  <conditionalFormatting sqref="J21">
    <cfRule type="cellIs" dxfId="9" priority="4" operator="notEqual">
      <formula>#REF!</formula>
    </cfRule>
  </conditionalFormatting>
  <conditionalFormatting sqref="K45">
    <cfRule type="cellIs" dxfId="8" priority="3" operator="notEqual">
      <formula>#REF!</formula>
    </cfRule>
  </conditionalFormatting>
  <conditionalFormatting sqref="K78">
    <cfRule type="cellIs" dxfId="7" priority="2" operator="notEqual">
      <formula>#REF!</formula>
    </cfRule>
  </conditionalFormatting>
  <conditionalFormatting sqref="K94">
    <cfRule type="cellIs" dxfId="6" priority="1" operator="not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abSelected="1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G157" sqref="G157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5.8554687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569" t="s">
        <v>12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431"/>
    </row>
    <row r="2" spans="1:19" ht="38.25" customHeight="1" x14ac:dyDescent="0.4">
      <c r="A2" s="570" t="s">
        <v>539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432"/>
    </row>
    <row r="3" spans="1:19" ht="33.75" customHeight="1" thickBot="1" x14ac:dyDescent="0.3">
      <c r="A3" s="18"/>
      <c r="C3" s="18"/>
      <c r="D3" s="18"/>
      <c r="E3" s="18"/>
      <c r="F3" s="18"/>
      <c r="G3" s="299"/>
      <c r="H3" s="18"/>
      <c r="I3" s="18"/>
      <c r="J3" s="18"/>
      <c r="K3" s="18"/>
      <c r="L3" s="300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504</v>
      </c>
      <c r="F4" s="24" t="s">
        <v>495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1" t="s">
        <v>496</v>
      </c>
      <c r="R4" s="1"/>
      <c r="S4" s="98"/>
    </row>
    <row r="5" spans="1:19" ht="75" customHeight="1" outlineLevel="1" x14ac:dyDescent="0.25">
      <c r="A5" s="525">
        <v>1</v>
      </c>
      <c r="B5" s="435" t="s">
        <v>25</v>
      </c>
      <c r="C5" s="28" t="s">
        <v>26</v>
      </c>
      <c r="D5" s="436" t="s">
        <v>27</v>
      </c>
      <c r="E5" s="622" t="s">
        <v>505</v>
      </c>
      <c r="F5" s="436" t="s">
        <v>497</v>
      </c>
      <c r="G5" s="609" t="s">
        <v>299</v>
      </c>
      <c r="H5" s="436" t="s">
        <v>28</v>
      </c>
      <c r="I5" s="31" t="s">
        <v>29</v>
      </c>
      <c r="J5" s="464">
        <v>7300000</v>
      </c>
      <c r="K5" s="477">
        <f>5822389.5+13412.1+4470.7+716451.75+24588.85+716451.75+2235.35</f>
        <v>7299999.9999999991</v>
      </c>
      <c r="L5" s="30" t="s">
        <v>30</v>
      </c>
      <c r="M5" s="477">
        <f>595000+119000+119000+119000+119000+119000+119000</f>
        <v>1309000</v>
      </c>
      <c r="N5" s="477">
        <f>652083.5+22907.49</f>
        <v>674990.99</v>
      </c>
      <c r="O5" s="464">
        <f t="shared" ref="O5:O33" si="0">K5-M5</f>
        <v>5990999.9999999991</v>
      </c>
      <c r="P5" s="140" t="s">
        <v>506</v>
      </c>
      <c r="Q5" s="470" t="s">
        <v>498</v>
      </c>
      <c r="S5" s="5"/>
    </row>
    <row r="6" spans="1:19" ht="75.75" customHeight="1" outlineLevel="1" x14ac:dyDescent="0.25">
      <c r="A6" s="533"/>
      <c r="B6" s="461" t="s">
        <v>25</v>
      </c>
      <c r="C6" s="33" t="s">
        <v>32</v>
      </c>
      <c r="D6" s="436" t="s">
        <v>27</v>
      </c>
      <c r="E6" s="622"/>
      <c r="F6" s="437" t="s">
        <v>497</v>
      </c>
      <c r="G6" s="609"/>
      <c r="H6" s="437" t="s">
        <v>33</v>
      </c>
      <c r="I6" s="467" t="s">
        <v>29</v>
      </c>
      <c r="J6" s="477">
        <v>7300000</v>
      </c>
      <c r="K6" s="477">
        <v>7299999.9999999981</v>
      </c>
      <c r="L6" s="449" t="s">
        <v>34</v>
      </c>
      <c r="M6" s="477">
        <f>5474999.9+304166.7+304166.7+304166.7+304166.7+304166.7+304167</f>
        <v>7300000.4000000013</v>
      </c>
      <c r="N6" s="477">
        <f>1226756+8356.16+4154.77</f>
        <v>1239266.93</v>
      </c>
      <c r="O6" s="477">
        <f t="shared" si="0"/>
        <v>-0.40000000316649675</v>
      </c>
      <c r="P6" s="140" t="s">
        <v>35</v>
      </c>
      <c r="Q6" s="204" t="s">
        <v>498</v>
      </c>
      <c r="S6" s="5"/>
    </row>
    <row r="7" spans="1:19" ht="79.5" customHeight="1" outlineLevel="1" x14ac:dyDescent="0.25">
      <c r="A7" s="434">
        <v>2</v>
      </c>
      <c r="B7" s="461" t="s">
        <v>25</v>
      </c>
      <c r="C7" s="461" t="s">
        <v>36</v>
      </c>
      <c r="D7" s="437" t="s">
        <v>27</v>
      </c>
      <c r="E7" s="479" t="s">
        <v>507</v>
      </c>
      <c r="F7" s="437" t="s">
        <v>497</v>
      </c>
      <c r="G7" s="479" t="s">
        <v>300</v>
      </c>
      <c r="H7" s="437" t="s">
        <v>37</v>
      </c>
      <c r="I7" s="467" t="s">
        <v>29</v>
      </c>
      <c r="J7" s="477">
        <v>14060526.73</v>
      </c>
      <c r="K7" s="477">
        <v>14060526.73</v>
      </c>
      <c r="L7" s="476">
        <v>7.4999999999999997E-3</v>
      </c>
      <c r="M7" s="477">
        <f>5858552.73979552+234342.1+234342.1+98055764.9/418.43+98932204.4/422.17+104987604.2/448.01+97345708.3/415.4</f>
        <v>7264605.3397470377</v>
      </c>
      <c r="N7" s="477">
        <f>1294472.69934396+40254.3+39195.3+16095956/418.43+15796672.6/422.17+16433280.1/448.01+14866002.9/415.4</f>
        <v>1522275.409301799</v>
      </c>
      <c r="O7" s="477">
        <f t="shared" si="0"/>
        <v>6795921.3902529627</v>
      </c>
      <c r="P7" s="140" t="s">
        <v>31</v>
      </c>
      <c r="Q7" s="204" t="s">
        <v>498</v>
      </c>
      <c r="S7" s="5"/>
    </row>
    <row r="8" spans="1:19" ht="78.75" customHeight="1" outlineLevel="1" x14ac:dyDescent="0.25">
      <c r="A8" s="434">
        <v>3</v>
      </c>
      <c r="B8" s="461" t="s">
        <v>25</v>
      </c>
      <c r="C8" s="461" t="s">
        <v>38</v>
      </c>
      <c r="D8" s="437" t="s">
        <v>27</v>
      </c>
      <c r="E8" s="479" t="s">
        <v>513</v>
      </c>
      <c r="F8" s="437" t="s">
        <v>497</v>
      </c>
      <c r="G8" s="439" t="s">
        <v>301</v>
      </c>
      <c r="H8" s="437" t="s">
        <v>39</v>
      </c>
      <c r="I8" s="467" t="s">
        <v>29</v>
      </c>
      <c r="J8" s="477">
        <v>75000000</v>
      </c>
      <c r="K8" s="477"/>
      <c r="L8" s="476" t="s">
        <v>40</v>
      </c>
      <c r="M8" s="477"/>
      <c r="N8" s="477">
        <f>1932812.5+93750+93750+93750+93750+42000937.5/448.01+38943750/415.4</f>
        <v>2495312.5</v>
      </c>
      <c r="O8" s="477">
        <f t="shared" si="0"/>
        <v>0</v>
      </c>
      <c r="P8" s="140" t="s">
        <v>35</v>
      </c>
      <c r="Q8" s="204" t="s">
        <v>498</v>
      </c>
      <c r="S8" s="5"/>
    </row>
    <row r="9" spans="1:19" ht="81.75" customHeight="1" outlineLevel="1" x14ac:dyDescent="0.25">
      <c r="A9" s="532">
        <v>4</v>
      </c>
      <c r="B9" s="443" t="s">
        <v>25</v>
      </c>
      <c r="C9" s="521" t="s">
        <v>38</v>
      </c>
      <c r="D9" s="437" t="s">
        <v>27</v>
      </c>
      <c r="E9" s="610" t="s">
        <v>513</v>
      </c>
      <c r="F9" s="445" t="s">
        <v>497</v>
      </c>
      <c r="G9" s="541" t="s">
        <v>301</v>
      </c>
      <c r="H9" s="531" t="s">
        <v>41</v>
      </c>
      <c r="I9" s="467" t="s">
        <v>29</v>
      </c>
      <c r="J9" s="477">
        <v>10200000</v>
      </c>
      <c r="K9" s="477">
        <f>1075381.69+59500</f>
        <v>1134881.69</v>
      </c>
      <c r="L9" s="446" t="s">
        <v>30</v>
      </c>
      <c r="M9" s="477">
        <v>0</v>
      </c>
      <c r="N9" s="477">
        <f>200690.672577969+15587.2+6522152.1/418.43+6580448.3/422.17+6983221.5/448.01+6474922.9/415.4</f>
        <v>278626.67287819582</v>
      </c>
      <c r="O9" s="477">
        <f>K9-M9</f>
        <v>1134881.69</v>
      </c>
      <c r="P9" s="521" t="s">
        <v>35</v>
      </c>
      <c r="Q9" s="469" t="s">
        <v>498</v>
      </c>
      <c r="S9" s="5"/>
    </row>
    <row r="10" spans="1:19" ht="76.5" customHeight="1" outlineLevel="1" x14ac:dyDescent="0.25">
      <c r="A10" s="533"/>
      <c r="B10" s="443" t="s">
        <v>25</v>
      </c>
      <c r="C10" s="528"/>
      <c r="D10" s="437" t="s">
        <v>463</v>
      </c>
      <c r="E10" s="611"/>
      <c r="F10" s="436" t="s">
        <v>499</v>
      </c>
      <c r="G10" s="542"/>
      <c r="H10" s="530"/>
      <c r="I10" s="467" t="s">
        <v>2</v>
      </c>
      <c r="J10" s="477"/>
      <c r="K10" s="477">
        <v>244081445</v>
      </c>
      <c r="L10" s="446" t="s">
        <v>30</v>
      </c>
      <c r="M10" s="477"/>
      <c r="N10" s="477">
        <f>9774294.3+915305.4+915305.4+915305.4+915305.4</f>
        <v>13435515.900000002</v>
      </c>
      <c r="O10" s="477">
        <f>K10-M10</f>
        <v>244081445</v>
      </c>
      <c r="P10" s="528"/>
      <c r="Q10" s="470" t="s">
        <v>498</v>
      </c>
      <c r="S10" s="5"/>
    </row>
    <row r="11" spans="1:19" ht="76.5" customHeight="1" outlineLevel="1" x14ac:dyDescent="0.25">
      <c r="A11" s="532">
        <v>5</v>
      </c>
      <c r="B11" s="443" t="s">
        <v>25</v>
      </c>
      <c r="C11" s="521" t="s">
        <v>42</v>
      </c>
      <c r="D11" s="437" t="s">
        <v>126</v>
      </c>
      <c r="E11" s="541" t="s">
        <v>514</v>
      </c>
      <c r="F11" s="437" t="s">
        <v>497</v>
      </c>
      <c r="G11" s="541" t="s">
        <v>302</v>
      </c>
      <c r="H11" s="531" t="s">
        <v>43</v>
      </c>
      <c r="I11" s="467" t="s">
        <v>29</v>
      </c>
      <c r="J11" s="477">
        <v>10000000</v>
      </c>
      <c r="K11" s="477"/>
      <c r="L11" s="446" t="s">
        <v>44</v>
      </c>
      <c r="M11" s="477"/>
      <c r="N11" s="477">
        <v>50000</v>
      </c>
      <c r="O11" s="477">
        <f>K11-M11</f>
        <v>0</v>
      </c>
      <c r="P11" s="521" t="s">
        <v>45</v>
      </c>
      <c r="Q11" s="469" t="s">
        <v>498</v>
      </c>
      <c r="S11" s="5"/>
    </row>
    <row r="12" spans="1:19" ht="76.5" customHeight="1" outlineLevel="1" x14ac:dyDescent="0.25">
      <c r="A12" s="533"/>
      <c r="B12" s="443" t="s">
        <v>25</v>
      </c>
      <c r="C12" s="528"/>
      <c r="D12" s="437" t="s">
        <v>463</v>
      </c>
      <c r="E12" s="542"/>
      <c r="F12" s="437" t="s">
        <v>499</v>
      </c>
      <c r="G12" s="542"/>
      <c r="H12" s="530"/>
      <c r="I12" s="437" t="s">
        <v>2</v>
      </c>
      <c r="J12" s="477"/>
      <c r="K12" s="477"/>
      <c r="L12" s="446" t="s">
        <v>44</v>
      </c>
      <c r="M12" s="477"/>
      <c r="N12" s="477"/>
      <c r="O12" s="477">
        <f t="shared" si="0"/>
        <v>0</v>
      </c>
      <c r="P12" s="528"/>
      <c r="Q12" s="470" t="s">
        <v>498</v>
      </c>
      <c r="S12" s="5"/>
    </row>
    <row r="13" spans="1:19" ht="76.5" customHeight="1" outlineLevel="1" x14ac:dyDescent="0.25">
      <c r="A13" s="532">
        <v>6</v>
      </c>
      <c r="B13" s="443" t="s">
        <v>25</v>
      </c>
      <c r="C13" s="521" t="s">
        <v>46</v>
      </c>
      <c r="D13" s="437" t="s">
        <v>27</v>
      </c>
      <c r="E13" s="541" t="s">
        <v>515</v>
      </c>
      <c r="F13" s="437" t="s">
        <v>497</v>
      </c>
      <c r="G13" s="541" t="s">
        <v>303</v>
      </c>
      <c r="H13" s="531" t="s">
        <v>47</v>
      </c>
      <c r="I13" s="467" t="s">
        <v>29</v>
      </c>
      <c r="J13" s="477">
        <v>83000000</v>
      </c>
      <c r="K13" s="477"/>
      <c r="L13" s="446" t="s">
        <v>464</v>
      </c>
      <c r="M13" s="477"/>
      <c r="N13" s="477">
        <f>1930326.40003794+103750+103750+103750+103750+46481037.5/448.01+43097750/415.4</f>
        <v>2552826.4000379397</v>
      </c>
      <c r="O13" s="477">
        <f t="shared" si="0"/>
        <v>0</v>
      </c>
      <c r="P13" s="521" t="s">
        <v>35</v>
      </c>
      <c r="Q13" s="469" t="s">
        <v>498</v>
      </c>
      <c r="S13" s="5"/>
    </row>
    <row r="14" spans="1:19" ht="76.5" customHeight="1" outlineLevel="1" x14ac:dyDescent="0.25">
      <c r="A14" s="533"/>
      <c r="B14" s="443" t="s">
        <v>25</v>
      </c>
      <c r="C14" s="528"/>
      <c r="D14" s="437" t="s">
        <v>463</v>
      </c>
      <c r="E14" s="542"/>
      <c r="F14" s="437" t="s">
        <v>499</v>
      </c>
      <c r="G14" s="542"/>
      <c r="H14" s="530"/>
      <c r="I14" s="437" t="s">
        <v>2</v>
      </c>
      <c r="J14" s="477"/>
      <c r="K14" s="477"/>
      <c r="L14" s="446" t="s">
        <v>464</v>
      </c>
      <c r="M14" s="477"/>
      <c r="N14" s="477"/>
      <c r="O14" s="477">
        <f t="shared" si="0"/>
        <v>0</v>
      </c>
      <c r="P14" s="528"/>
      <c r="Q14" s="470" t="s">
        <v>498</v>
      </c>
      <c r="R14" s="8"/>
      <c r="S14" s="5"/>
    </row>
    <row r="15" spans="1:19" ht="96.75" customHeight="1" outlineLevel="1" x14ac:dyDescent="0.25">
      <c r="A15" s="532">
        <v>7</v>
      </c>
      <c r="B15" s="443" t="s">
        <v>25</v>
      </c>
      <c r="C15" s="521" t="s">
        <v>48</v>
      </c>
      <c r="D15" s="531" t="s">
        <v>49</v>
      </c>
      <c r="E15" s="541" t="s">
        <v>516</v>
      </c>
      <c r="F15" s="437" t="s">
        <v>497</v>
      </c>
      <c r="G15" s="541" t="s">
        <v>304</v>
      </c>
      <c r="H15" s="531" t="s">
        <v>50</v>
      </c>
      <c r="I15" s="467" t="s">
        <v>51</v>
      </c>
      <c r="J15" s="477">
        <f>35500000-1434414.8</f>
        <v>34065585.200000003</v>
      </c>
      <c r="K15" s="477">
        <v>34065585.200000003</v>
      </c>
      <c r="L15" s="459" t="s">
        <v>367</v>
      </c>
      <c r="M15" s="477">
        <f>3406558.5+438685248.4/386.33+457603003.3/402.99+440229555/387.69</f>
        <v>6813117.0000130683</v>
      </c>
      <c r="N15" s="477">
        <f>6927866.15+372600334/386.33+433310604.9/402.99+419066992.3/387.69</f>
        <v>10048499.749881966</v>
      </c>
      <c r="O15" s="477">
        <f t="shared" si="0"/>
        <v>27252468.199986935</v>
      </c>
      <c r="P15" s="521" t="s">
        <v>52</v>
      </c>
      <c r="Q15" s="469" t="s">
        <v>498</v>
      </c>
      <c r="R15" s="8"/>
      <c r="S15" s="5"/>
    </row>
    <row r="16" spans="1:19" ht="81.75" customHeight="1" outlineLevel="1" x14ac:dyDescent="0.25">
      <c r="A16" s="533"/>
      <c r="B16" s="443" t="s">
        <v>25</v>
      </c>
      <c r="C16" s="528"/>
      <c r="D16" s="530"/>
      <c r="E16" s="542"/>
      <c r="F16" s="437" t="s">
        <v>499</v>
      </c>
      <c r="G16" s="542"/>
      <c r="H16" s="530"/>
      <c r="I16" s="437" t="s">
        <v>2</v>
      </c>
      <c r="J16" s="477"/>
      <c r="K16" s="477">
        <v>3680136115.8000002</v>
      </c>
      <c r="L16" s="459" t="s">
        <v>367</v>
      </c>
      <c r="M16" s="477">
        <f>387003402.1+121967878.3+121967878.3+121967878.3</f>
        <v>752907037</v>
      </c>
      <c r="N16" s="477">
        <f>743758864.24+103594252.5+115493072.7+116104685.6</f>
        <v>1078950875.04</v>
      </c>
      <c r="O16" s="477">
        <f t="shared" si="0"/>
        <v>2927229078.8000002</v>
      </c>
      <c r="P16" s="528"/>
      <c r="Q16" s="470" t="s">
        <v>498</v>
      </c>
      <c r="R16" s="8"/>
      <c r="S16" s="5"/>
    </row>
    <row r="17" spans="1:18" s="5" customFormat="1" ht="66.75" customHeight="1" outlineLevel="1" x14ac:dyDescent="0.25">
      <c r="A17" s="532">
        <v>8</v>
      </c>
      <c r="B17" s="443" t="s">
        <v>25</v>
      </c>
      <c r="C17" s="521" t="s">
        <v>53</v>
      </c>
      <c r="D17" s="531" t="s">
        <v>49</v>
      </c>
      <c r="E17" s="541" t="s">
        <v>517</v>
      </c>
      <c r="F17" s="437" t="s">
        <v>497</v>
      </c>
      <c r="G17" s="541" t="s">
        <v>305</v>
      </c>
      <c r="H17" s="541" t="s">
        <v>54</v>
      </c>
      <c r="I17" s="467" t="s">
        <v>51</v>
      </c>
      <c r="J17" s="34">
        <f>40000000-2500000-1500000</f>
        <v>36000000</v>
      </c>
      <c r="K17" s="477">
        <v>25459684.080000002</v>
      </c>
      <c r="L17" s="476" t="s">
        <v>367</v>
      </c>
      <c r="M17" s="477">
        <f>329635002.4/388.42</f>
        <v>848656.10009783215</v>
      </c>
      <c r="N17" s="477">
        <f>4091306.45123489+373977422.6/403.57+376544951.9/388.42</f>
        <v>5987406.7512976453</v>
      </c>
      <c r="O17" s="477">
        <f t="shared" si="0"/>
        <v>24611027.979902171</v>
      </c>
      <c r="P17" s="521" t="s">
        <v>52</v>
      </c>
      <c r="Q17" s="469" t="s">
        <v>498</v>
      </c>
      <c r="R17" s="8"/>
    </row>
    <row r="18" spans="1:18" s="5" customFormat="1" ht="58.5" customHeight="1" outlineLevel="1" x14ac:dyDescent="0.25">
      <c r="A18" s="533"/>
      <c r="B18" s="443" t="s">
        <v>25</v>
      </c>
      <c r="C18" s="528"/>
      <c r="D18" s="530"/>
      <c r="E18" s="542"/>
      <c r="F18" s="437" t="s">
        <v>499</v>
      </c>
      <c r="G18" s="542"/>
      <c r="H18" s="542"/>
      <c r="I18" s="437" t="s">
        <v>2</v>
      </c>
      <c r="J18" s="34"/>
      <c r="K18" s="477">
        <v>1298785286.0000002</v>
      </c>
      <c r="L18" s="476" t="s">
        <v>367</v>
      </c>
      <c r="M18" s="477">
        <f>563212.2+43274069.1</f>
        <v>43837281.300000004</v>
      </c>
      <c r="N18" s="477">
        <f>165583419.3+41681454.8+49409773.1</f>
        <v>256674647.20000002</v>
      </c>
      <c r="O18" s="477">
        <f t="shared" si="0"/>
        <v>1254948004.7000003</v>
      </c>
      <c r="P18" s="528"/>
      <c r="Q18" s="470" t="s">
        <v>498</v>
      </c>
      <c r="R18" s="8"/>
    </row>
    <row r="19" spans="1:18" s="5" customFormat="1" ht="70.5" customHeight="1" outlineLevel="1" x14ac:dyDescent="0.25">
      <c r="A19" s="532">
        <v>9</v>
      </c>
      <c r="B19" s="451" t="s">
        <v>25</v>
      </c>
      <c r="C19" s="521" t="s">
        <v>55</v>
      </c>
      <c r="D19" s="531" t="s">
        <v>49</v>
      </c>
      <c r="E19" s="609" t="s">
        <v>508</v>
      </c>
      <c r="F19" s="437" t="s">
        <v>497</v>
      </c>
      <c r="G19" s="622" t="s">
        <v>306</v>
      </c>
      <c r="H19" s="541" t="s">
        <v>56</v>
      </c>
      <c r="I19" s="467" t="s">
        <v>51</v>
      </c>
      <c r="J19" s="34">
        <v>23194486</v>
      </c>
      <c r="K19" s="477">
        <v>16165176.98</v>
      </c>
      <c r="L19" s="446" t="s">
        <v>367</v>
      </c>
      <c r="M19" s="477">
        <v>0</v>
      </c>
      <c r="N19" s="477">
        <f>1316813.632+122778919.2/386.33+153358408.7/402.99+182294474.3/387.69</f>
        <v>2485380.2321278523</v>
      </c>
      <c r="O19" s="477">
        <f t="shared" si="0"/>
        <v>16165176.98</v>
      </c>
      <c r="P19" s="521" t="s">
        <v>52</v>
      </c>
      <c r="Q19" s="204" t="s">
        <v>498</v>
      </c>
      <c r="R19" s="8"/>
    </row>
    <row r="20" spans="1:18" s="5" customFormat="1" ht="66.75" customHeight="1" outlineLevel="1" x14ac:dyDescent="0.25">
      <c r="A20" s="533"/>
      <c r="B20" s="451" t="s">
        <v>25</v>
      </c>
      <c r="C20" s="522"/>
      <c r="D20" s="529"/>
      <c r="E20" s="609"/>
      <c r="F20" s="437" t="s">
        <v>499</v>
      </c>
      <c r="G20" s="622"/>
      <c r="H20" s="542"/>
      <c r="I20" s="437" t="s">
        <v>2</v>
      </c>
      <c r="J20" s="34"/>
      <c r="K20" s="477">
        <f>1715005397.1+206000000</f>
        <v>1921005397.0999999</v>
      </c>
      <c r="L20" s="446" t="s">
        <v>367</v>
      </c>
      <c r="M20" s="477">
        <v>91463799.799999997</v>
      </c>
      <c r="N20" s="477">
        <f>119885553.7+36155098.5+43333756.7+53344969.4</f>
        <v>252719378.29999998</v>
      </c>
      <c r="O20" s="477">
        <f t="shared" si="0"/>
        <v>1829541597.3</v>
      </c>
      <c r="P20" s="528"/>
      <c r="Q20" s="204" t="s">
        <v>498</v>
      </c>
      <c r="R20" s="8"/>
    </row>
    <row r="21" spans="1:18" s="5" customFormat="1" ht="48" customHeight="1" outlineLevel="1" x14ac:dyDescent="0.25">
      <c r="A21" s="532">
        <v>10</v>
      </c>
      <c r="B21" s="451" t="s">
        <v>57</v>
      </c>
      <c r="C21" s="522"/>
      <c r="D21" s="529"/>
      <c r="E21" s="609"/>
      <c r="F21" s="437" t="s">
        <v>497</v>
      </c>
      <c r="G21" s="541" t="s">
        <v>307</v>
      </c>
      <c r="H21" s="541" t="s">
        <v>56</v>
      </c>
      <c r="I21" s="467" t="s">
        <v>51</v>
      </c>
      <c r="J21" s="477">
        <v>16662617.070000002</v>
      </c>
      <c r="K21" s="477">
        <v>16662617.070000002</v>
      </c>
      <c r="L21" s="446" t="s">
        <v>367</v>
      </c>
      <c r="M21" s="477"/>
      <c r="N21" s="477">
        <f>2194958+182027405/386.38+218562808/403.19+223111756.9/387.69</f>
        <v>3783641.8022023076</v>
      </c>
      <c r="O21" s="477">
        <f t="shared" si="0"/>
        <v>16662617.070000002</v>
      </c>
      <c r="P21" s="521" t="s">
        <v>52</v>
      </c>
      <c r="Q21" s="469" t="s">
        <v>498</v>
      </c>
      <c r="R21" s="8"/>
    </row>
    <row r="22" spans="1:18" s="5" customFormat="1" ht="54.75" customHeight="1" outlineLevel="1" x14ac:dyDescent="0.25">
      <c r="A22" s="533"/>
      <c r="B22" s="451" t="s">
        <v>57</v>
      </c>
      <c r="C22" s="528"/>
      <c r="D22" s="530"/>
      <c r="E22" s="609"/>
      <c r="F22" s="437" t="s">
        <v>499</v>
      </c>
      <c r="G22" s="542"/>
      <c r="H22" s="542"/>
      <c r="I22" s="467" t="s">
        <v>2</v>
      </c>
      <c r="J22" s="9"/>
      <c r="K22" s="477">
        <v>2003005775.2</v>
      </c>
      <c r="L22" s="446" t="s">
        <v>367</v>
      </c>
      <c r="M22" s="477"/>
      <c r="N22" s="477">
        <f>238604865.8+56631905+65163658.9+69156989.1</f>
        <v>429557418.79999995</v>
      </c>
      <c r="O22" s="477">
        <f t="shared" si="0"/>
        <v>2003005775.2</v>
      </c>
      <c r="P22" s="528"/>
      <c r="Q22" s="470" t="s">
        <v>498</v>
      </c>
      <c r="R22" s="8"/>
    </row>
    <row r="23" spans="1:18" s="5" customFormat="1" ht="57.75" customHeight="1" outlineLevel="1" x14ac:dyDescent="0.25">
      <c r="A23" s="532">
        <v>11</v>
      </c>
      <c r="B23" s="451" t="s">
        <v>25</v>
      </c>
      <c r="C23" s="521" t="s">
        <v>58</v>
      </c>
      <c r="D23" s="531" t="s">
        <v>59</v>
      </c>
      <c r="E23" s="609" t="s">
        <v>518</v>
      </c>
      <c r="F23" s="437" t="s">
        <v>497</v>
      </c>
      <c r="G23" s="541" t="s">
        <v>305</v>
      </c>
      <c r="H23" s="531" t="s">
        <v>60</v>
      </c>
      <c r="I23" s="467" t="s">
        <v>61</v>
      </c>
      <c r="J23" s="36">
        <v>13988153</v>
      </c>
      <c r="K23" s="477">
        <v>8262785.6411363389</v>
      </c>
      <c r="L23" s="446">
        <v>3.1399999999999997E-2</v>
      </c>
      <c r="M23" s="477">
        <f>1430873.60020494+107795234.9/520.68+109739226/530.07+105995907.4/511.99</f>
        <v>2051956.5004417119</v>
      </c>
      <c r="N23" s="477">
        <f>1219413.93+55848657.5/520.68+55104222/530.07+51579050.2/511.99</f>
        <v>1531373.7301682285</v>
      </c>
      <c r="O23" s="477">
        <f t="shared" si="0"/>
        <v>6210829.1406946275</v>
      </c>
      <c r="P23" s="521" t="s">
        <v>52</v>
      </c>
      <c r="Q23" s="469" t="s">
        <v>498</v>
      </c>
      <c r="R23" s="8"/>
    </row>
    <row r="24" spans="1:18" s="5" customFormat="1" ht="59.25" customHeight="1" outlineLevel="1" x14ac:dyDescent="0.25">
      <c r="A24" s="533"/>
      <c r="B24" s="451" t="s">
        <v>25</v>
      </c>
      <c r="C24" s="522"/>
      <c r="D24" s="529"/>
      <c r="E24" s="609"/>
      <c r="F24" s="437" t="s">
        <v>499</v>
      </c>
      <c r="G24" s="542"/>
      <c r="H24" s="530"/>
      <c r="I24" s="437" t="s">
        <v>2</v>
      </c>
      <c r="J24" s="37"/>
      <c r="K24" s="477">
        <v>1194787815</v>
      </c>
      <c r="L24" s="446">
        <v>3.1399999999999997E-2</v>
      </c>
      <c r="M24" s="477">
        <f>209123295.3+29868621.8+29868621.8+29868621.8</f>
        <v>298729160.70000005</v>
      </c>
      <c r="N24" s="477">
        <f>177460224.6+15474933+14998180+14534453</f>
        <v>222467790.59999999</v>
      </c>
      <c r="O24" s="477">
        <f t="shared" si="0"/>
        <v>896058654.29999995</v>
      </c>
      <c r="P24" s="528"/>
      <c r="Q24" s="470" t="s">
        <v>498</v>
      </c>
      <c r="R24" s="8"/>
    </row>
    <row r="25" spans="1:18" s="5" customFormat="1" ht="51.75" customHeight="1" outlineLevel="1" x14ac:dyDescent="0.25">
      <c r="A25" s="532">
        <v>12</v>
      </c>
      <c r="B25" s="451" t="s">
        <v>62</v>
      </c>
      <c r="C25" s="522"/>
      <c r="D25" s="529"/>
      <c r="E25" s="609"/>
      <c r="F25" s="437" t="s">
        <v>497</v>
      </c>
      <c r="G25" s="541" t="s">
        <v>308</v>
      </c>
      <c r="H25" s="531" t="s">
        <v>60</v>
      </c>
      <c r="I25" s="467" t="s">
        <v>61</v>
      </c>
      <c r="J25" s="36">
        <v>10098535</v>
      </c>
      <c r="K25" s="477">
        <v>10121386.37101347</v>
      </c>
      <c r="L25" s="446">
        <v>3.1399999999999997E-2</v>
      </c>
      <c r="M25" s="477">
        <f>1520990.1+136750579/520.29+138244588/530.59+133398381/511.99</f>
        <v>2304923.0035929154</v>
      </c>
      <c r="N25" s="477">
        <f>832426.027338+83294453/525+70252782/520.29+69454072/530.59+64924992/511.99</f>
        <v>1383817.1311368861</v>
      </c>
      <c r="O25" s="477">
        <f t="shared" si="0"/>
        <v>7816463.3674205542</v>
      </c>
      <c r="P25" s="521" t="s">
        <v>52</v>
      </c>
      <c r="Q25" s="469" t="s">
        <v>498</v>
      </c>
      <c r="R25" s="8"/>
    </row>
    <row r="26" spans="1:18" s="5" customFormat="1" ht="47.25" customHeight="1" outlineLevel="1" x14ac:dyDescent="0.25">
      <c r="A26" s="533"/>
      <c r="B26" s="451" t="s">
        <v>62</v>
      </c>
      <c r="C26" s="528"/>
      <c r="D26" s="530"/>
      <c r="E26" s="609"/>
      <c r="F26" s="437" t="s">
        <v>499</v>
      </c>
      <c r="G26" s="542"/>
      <c r="H26" s="530"/>
      <c r="I26" s="437" t="s">
        <v>2</v>
      </c>
      <c r="J26" s="37"/>
      <c r="K26" s="477">
        <v>794162455.89999998</v>
      </c>
      <c r="L26" s="446">
        <v>3.1399999999999997E-2</v>
      </c>
      <c r="M26" s="477">
        <f>123592049.7+20623615+20310837+20310837</f>
        <v>184837338.69999999</v>
      </c>
      <c r="N26" s="477">
        <f>78534680.8+10527955+10204165+9885285</f>
        <v>109152085.8</v>
      </c>
      <c r="O26" s="477">
        <f t="shared" si="0"/>
        <v>609325117.20000005</v>
      </c>
      <c r="P26" s="528"/>
      <c r="Q26" s="470" t="s">
        <v>498</v>
      </c>
      <c r="R26" s="8"/>
    </row>
    <row r="27" spans="1:18" s="5" customFormat="1" ht="48" customHeight="1" outlineLevel="1" x14ac:dyDescent="0.25">
      <c r="A27" s="434">
        <v>13</v>
      </c>
      <c r="B27" s="460" t="s">
        <v>25</v>
      </c>
      <c r="C27" s="521" t="s">
        <v>63</v>
      </c>
      <c r="D27" s="531" t="s">
        <v>64</v>
      </c>
      <c r="E27" s="610" t="s">
        <v>519</v>
      </c>
      <c r="F27" s="437" t="s">
        <v>497</v>
      </c>
      <c r="G27" s="439" t="s">
        <v>309</v>
      </c>
      <c r="H27" s="437" t="s">
        <v>65</v>
      </c>
      <c r="I27" s="467" t="s">
        <v>51</v>
      </c>
      <c r="J27" s="477">
        <v>19600000</v>
      </c>
      <c r="K27" s="477">
        <v>19419334.870000001</v>
      </c>
      <c r="L27" s="478">
        <v>5.0000000000000001E-3</v>
      </c>
      <c r="M27" s="477">
        <f>9716960.66852489+189584407.5/488.5+172026989.7/443.26+153375144/395.2+150045288.9/386.62+156421689.8/403.05+150324717.3/387.34</f>
        <v>12045530.668648943</v>
      </c>
      <c r="N27" s="477">
        <f>1129921.93024286+16077756.3/488.5+14096288.6/443.26+12233850.7/395.2+11546870.2/386.62+11574265.9/403.05+10860006.5/387.34</f>
        <v>1312212.2301338713</v>
      </c>
      <c r="O27" s="477">
        <f t="shared" si="0"/>
        <v>7373804.2013510577</v>
      </c>
      <c r="P27" s="140" t="s">
        <v>52</v>
      </c>
      <c r="Q27" s="204" t="s">
        <v>498</v>
      </c>
      <c r="R27" s="8"/>
    </row>
    <row r="28" spans="1:18" s="5" customFormat="1" ht="60" customHeight="1" outlineLevel="1" x14ac:dyDescent="0.25">
      <c r="A28" s="434">
        <v>14</v>
      </c>
      <c r="B28" s="460" t="s">
        <v>62</v>
      </c>
      <c r="C28" s="528"/>
      <c r="D28" s="530"/>
      <c r="E28" s="611"/>
      <c r="F28" s="437" t="s">
        <v>497</v>
      </c>
      <c r="G28" s="439" t="s">
        <v>310</v>
      </c>
      <c r="H28" s="437" t="s">
        <v>66</v>
      </c>
      <c r="I28" s="467" t="s">
        <v>51</v>
      </c>
      <c r="J28" s="477">
        <v>297276.53999999998</v>
      </c>
      <c r="K28" s="477">
        <v>297276.53999999998</v>
      </c>
      <c r="L28" s="476" t="s">
        <v>67</v>
      </c>
      <c r="M28" s="477">
        <f>257638.543537781+4361667/440.15+3916234/395.2+3837157/387.22+3994520/403.1</f>
        <v>297276.54625526333</v>
      </c>
      <c r="N28" s="477">
        <f>229541.53251276+1912186/489.99+1556591/440.15+1259898/395.2+1094284/387.22+991707/403.1</f>
        <v>245454.73643449965</v>
      </c>
      <c r="O28" s="477">
        <f t="shared" si="0"/>
        <v>-6.255263346247375E-3</v>
      </c>
      <c r="P28" s="140" t="s">
        <v>52</v>
      </c>
      <c r="Q28" s="204" t="s">
        <v>498</v>
      </c>
      <c r="R28" s="8"/>
    </row>
    <row r="29" spans="1:18" s="5" customFormat="1" ht="51" customHeight="1" outlineLevel="1" x14ac:dyDescent="0.25">
      <c r="A29" s="434">
        <v>15</v>
      </c>
      <c r="B29" s="460" t="s">
        <v>62</v>
      </c>
      <c r="C29" s="534" t="s">
        <v>68</v>
      </c>
      <c r="D29" s="531" t="s">
        <v>69</v>
      </c>
      <c r="E29" s="610" t="s">
        <v>520</v>
      </c>
      <c r="F29" s="437" t="s">
        <v>497</v>
      </c>
      <c r="G29" s="439" t="s">
        <v>311</v>
      </c>
      <c r="H29" s="437" t="s">
        <v>70</v>
      </c>
      <c r="I29" s="437" t="s">
        <v>71</v>
      </c>
      <c r="J29" s="477">
        <v>1571940173.3299999</v>
      </c>
      <c r="K29" s="477">
        <v>1598519063</v>
      </c>
      <c r="L29" s="478">
        <v>1.7999999999999999E-2</v>
      </c>
      <c r="M29" s="477">
        <f>1030178646.5+123394332/3.026+109815247/2.693+110426917/2.708+107613234/2.639</f>
        <v>1193290784.6071591</v>
      </c>
      <c r="N29" s="477">
        <f>226837831.925937+13873556/3.026+11211247/2.693+10505503/2.708+9205948/2.639</f>
        <v>242953578.05287489</v>
      </c>
      <c r="O29" s="477">
        <f t="shared" si="0"/>
        <v>405228278.39284086</v>
      </c>
      <c r="P29" s="140" t="s">
        <v>52</v>
      </c>
      <c r="Q29" s="204" t="s">
        <v>498</v>
      </c>
      <c r="R29" s="8"/>
    </row>
    <row r="30" spans="1:18" s="5" customFormat="1" ht="41.25" customHeight="1" outlineLevel="1" x14ac:dyDescent="0.25">
      <c r="A30" s="434">
        <v>16</v>
      </c>
      <c r="B30" s="461" t="s">
        <v>72</v>
      </c>
      <c r="C30" s="527"/>
      <c r="D30" s="530"/>
      <c r="E30" s="611"/>
      <c r="F30" s="437" t="s">
        <v>497</v>
      </c>
      <c r="G30" s="439" t="s">
        <v>312</v>
      </c>
      <c r="H30" s="437" t="s">
        <v>70</v>
      </c>
      <c r="I30" s="437" t="s">
        <v>71</v>
      </c>
      <c r="J30" s="477">
        <v>3796371795.6700001</v>
      </c>
      <c r="K30" s="477">
        <v>3861444249</v>
      </c>
      <c r="L30" s="478">
        <v>1.7999999999999999E-2</v>
      </c>
      <c r="M30" s="477">
        <f>2513837447.56+291897058.6/3.026+259774877.3/2.693+261800600/2.714+254469412/2.638</f>
        <v>2899689474.61869</v>
      </c>
      <c r="N30" s="477">
        <f>553224853.256799+32762341/3.026+26475306.9/2.693+24863667/2.714+21767387/2.638</f>
        <v>591295693.63595247</v>
      </c>
      <c r="O30" s="477">
        <f t="shared" si="0"/>
        <v>961754774.38130999</v>
      </c>
      <c r="P30" s="140" t="s">
        <v>52</v>
      </c>
      <c r="Q30" s="204" t="s">
        <v>498</v>
      </c>
      <c r="R30" s="8"/>
    </row>
    <row r="31" spans="1:18" s="5" customFormat="1" ht="69" customHeight="1" outlineLevel="1" x14ac:dyDescent="0.25">
      <c r="A31" s="532">
        <v>17</v>
      </c>
      <c r="B31" s="534" t="s">
        <v>73</v>
      </c>
      <c r="C31" s="521" t="s">
        <v>534</v>
      </c>
      <c r="D31" s="531" t="s">
        <v>64</v>
      </c>
      <c r="E31" s="610" t="s">
        <v>521</v>
      </c>
      <c r="F31" s="437" t="s">
        <v>497</v>
      </c>
      <c r="G31" s="541" t="s">
        <v>313</v>
      </c>
      <c r="H31" s="531" t="s">
        <v>75</v>
      </c>
      <c r="I31" s="467" t="s">
        <v>51</v>
      </c>
      <c r="J31" s="477">
        <v>4846628.13</v>
      </c>
      <c r="K31" s="477">
        <v>4737831.22</v>
      </c>
      <c r="L31" s="476">
        <v>7.4999999999999997E-3</v>
      </c>
      <c r="M31" s="477">
        <f>616176.07+18729201/386.44+19508050/402.51+18791723/387.73</f>
        <v>761574.0728560643</v>
      </c>
      <c r="N31" s="477">
        <f>353441.51+5923430/386.44+6198654/402.51+5835491.6/387.73</f>
        <v>399220.11103502067</v>
      </c>
      <c r="O31" s="477">
        <f t="shared" si="0"/>
        <v>3976257.1471439353</v>
      </c>
      <c r="P31" s="140" t="s">
        <v>76</v>
      </c>
      <c r="Q31" s="204" t="s">
        <v>498</v>
      </c>
      <c r="R31" s="8"/>
    </row>
    <row r="32" spans="1:18" s="5" customFormat="1" ht="69" customHeight="1" outlineLevel="1" x14ac:dyDescent="0.25">
      <c r="A32" s="533"/>
      <c r="B32" s="527"/>
      <c r="C32" s="528"/>
      <c r="D32" s="530"/>
      <c r="E32" s="611"/>
      <c r="F32" s="437" t="s">
        <v>499</v>
      </c>
      <c r="G32" s="542"/>
      <c r="H32" s="530"/>
      <c r="I32" s="437" t="s">
        <v>2</v>
      </c>
      <c r="J32" s="477">
        <v>1740568345.9000001</v>
      </c>
      <c r="K32" s="477">
        <v>1740568345.9000001</v>
      </c>
      <c r="L32" s="476">
        <v>7.4999999999999997E-3</v>
      </c>
      <c r="M32" s="477">
        <f>247100359+17402579+17402579+17402579</f>
        <v>299308096</v>
      </c>
      <c r="N32" s="477">
        <f>128165336.87+5554115.8+5580740.4+5454641.8</f>
        <v>144754834.87</v>
      </c>
      <c r="O32" s="477">
        <f t="shared" si="0"/>
        <v>1441260249.9000001</v>
      </c>
      <c r="P32" s="140" t="s">
        <v>76</v>
      </c>
      <c r="Q32" s="204" t="s">
        <v>498</v>
      </c>
      <c r="R32" s="8"/>
    </row>
    <row r="33" spans="1:19" ht="87" customHeight="1" outlineLevel="1" x14ac:dyDescent="0.25">
      <c r="A33" s="434">
        <v>18</v>
      </c>
      <c r="B33" s="460" t="s">
        <v>77</v>
      </c>
      <c r="C33" s="461" t="s">
        <v>78</v>
      </c>
      <c r="D33" s="437" t="s">
        <v>27</v>
      </c>
      <c r="E33" s="439" t="s">
        <v>522</v>
      </c>
      <c r="F33" s="437" t="s">
        <v>497</v>
      </c>
      <c r="G33" s="439" t="s">
        <v>314</v>
      </c>
      <c r="H33" s="439" t="s">
        <v>79</v>
      </c>
      <c r="I33" s="467" t="s">
        <v>29</v>
      </c>
      <c r="J33" s="39">
        <v>17895215.550000001</v>
      </c>
      <c r="K33" s="477">
        <v>17895215.550000001</v>
      </c>
      <c r="L33" s="476">
        <v>7.4999999999999997E-3</v>
      </c>
      <c r="M33" s="477">
        <f>7748628.1+130294835.3/415.04+137735052.2/438.74+131942984.6/420.29</f>
        <v>8690427.6999388505</v>
      </c>
      <c r="N33" s="477">
        <f>2568161.28+12471869/415.04+3320320/414.34+16171473.8/438.74+15002335.6/420.29</f>
        <v>2678778.6955025364</v>
      </c>
      <c r="O33" s="477">
        <f t="shared" si="0"/>
        <v>9204787.8500611503</v>
      </c>
      <c r="P33" s="140" t="s">
        <v>52</v>
      </c>
      <c r="Q33" s="204" t="s">
        <v>498</v>
      </c>
      <c r="R33" s="8"/>
      <c r="S33" s="5"/>
    </row>
    <row r="34" spans="1:19" ht="55.5" customHeight="1" outlineLevel="1" x14ac:dyDescent="0.25">
      <c r="A34" s="532">
        <v>19</v>
      </c>
      <c r="B34" s="451" t="s">
        <v>80</v>
      </c>
      <c r="C34" s="521" t="s">
        <v>81</v>
      </c>
      <c r="D34" s="521" t="s">
        <v>277</v>
      </c>
      <c r="E34" s="521" t="s">
        <v>523</v>
      </c>
      <c r="F34" s="461" t="s">
        <v>497</v>
      </c>
      <c r="G34" s="521" t="s">
        <v>315</v>
      </c>
      <c r="H34" s="461" t="s">
        <v>82</v>
      </c>
      <c r="I34" s="467" t="s">
        <v>29</v>
      </c>
      <c r="J34" s="42">
        <v>22000000</v>
      </c>
      <c r="K34" s="477">
        <v>21247150.510000002</v>
      </c>
      <c r="L34" s="462" t="s">
        <v>83</v>
      </c>
      <c r="M34" s="477">
        <f>1047000+1047000+1047000+1047000+1047000+1047000+1047000+1047000</f>
        <v>8376000</v>
      </c>
      <c r="N34" s="477">
        <f>2375876.3+237670.2</f>
        <v>2613546.5</v>
      </c>
      <c r="O34" s="477">
        <f>J34-M34</f>
        <v>13624000</v>
      </c>
      <c r="P34" s="521" t="s">
        <v>439</v>
      </c>
      <c r="Q34" s="469" t="s">
        <v>498</v>
      </c>
      <c r="R34" s="8"/>
      <c r="S34" s="5"/>
    </row>
    <row r="35" spans="1:19" ht="68.25" customHeight="1" outlineLevel="1" x14ac:dyDescent="0.25">
      <c r="A35" s="525"/>
      <c r="B35" s="451" t="s">
        <v>80</v>
      </c>
      <c r="C35" s="522"/>
      <c r="D35" s="522"/>
      <c r="E35" s="522"/>
      <c r="F35" s="461" t="s">
        <v>497</v>
      </c>
      <c r="G35" s="522"/>
      <c r="H35" s="461" t="s">
        <v>85</v>
      </c>
      <c r="I35" s="467" t="s">
        <v>29</v>
      </c>
      <c r="J35" s="42">
        <v>14500000</v>
      </c>
      <c r="K35" s="477">
        <v>14491281.059999999</v>
      </c>
      <c r="L35" s="462" t="s">
        <v>30</v>
      </c>
      <c r="M35" s="477">
        <f>241000+241000+241000+241000+241000+241000+241000+241000</f>
        <v>1928000</v>
      </c>
      <c r="N35" s="477">
        <f>628643.7+48048.75</f>
        <v>676692.45</v>
      </c>
      <c r="O35" s="477">
        <f>J35-M35</f>
        <v>12572000</v>
      </c>
      <c r="P35" s="522"/>
      <c r="Q35" s="471" t="s">
        <v>498</v>
      </c>
      <c r="R35" s="8"/>
      <c r="S35" s="5"/>
    </row>
    <row r="36" spans="1:19" ht="62.25" customHeight="1" outlineLevel="1" x14ac:dyDescent="0.25">
      <c r="A36" s="533"/>
      <c r="B36" s="451" t="s">
        <v>80</v>
      </c>
      <c r="C36" s="528"/>
      <c r="D36" s="528"/>
      <c r="E36" s="528"/>
      <c r="F36" s="461" t="s">
        <v>497</v>
      </c>
      <c r="G36" s="528"/>
      <c r="H36" s="461" t="s">
        <v>86</v>
      </c>
      <c r="I36" s="467" t="s">
        <v>29</v>
      </c>
      <c r="J36" s="42">
        <v>14500000</v>
      </c>
      <c r="K36" s="477">
        <v>14500000.000000002</v>
      </c>
      <c r="L36" s="462" t="s">
        <v>87</v>
      </c>
      <c r="M36" s="477">
        <f>2519999.6+630000+630000+630000+630000</f>
        <v>5039999.5999999996</v>
      </c>
      <c r="N36" s="477">
        <f>2336020+207340.05</f>
        <v>2543360.0499999998</v>
      </c>
      <c r="O36" s="477">
        <f>J36-M36</f>
        <v>9460000.4000000004</v>
      </c>
      <c r="P36" s="528"/>
      <c r="Q36" s="470" t="s">
        <v>498</v>
      </c>
      <c r="R36" s="8"/>
      <c r="S36" s="5"/>
    </row>
    <row r="37" spans="1:19" ht="94.5" customHeight="1" outlineLevel="1" x14ac:dyDescent="0.25">
      <c r="A37" s="434">
        <v>20</v>
      </c>
      <c r="B37" s="461" t="s">
        <v>88</v>
      </c>
      <c r="C37" s="460" t="s">
        <v>89</v>
      </c>
      <c r="D37" s="437" t="s">
        <v>69</v>
      </c>
      <c r="E37" s="437" t="s">
        <v>524</v>
      </c>
      <c r="F37" s="437" t="s">
        <v>497</v>
      </c>
      <c r="G37" s="439" t="s">
        <v>316</v>
      </c>
      <c r="H37" s="437" t="s">
        <v>90</v>
      </c>
      <c r="I37" s="437" t="s">
        <v>71</v>
      </c>
      <c r="J37" s="450">
        <v>26409000000</v>
      </c>
      <c r="K37" s="477">
        <v>26399286331</v>
      </c>
      <c r="L37" s="476">
        <v>7.4999999999999997E-3</v>
      </c>
      <c r="M37" s="477">
        <f>7357230331.16835+1131704010/2.615+1153775484/2.666+(500000000+500000000+175414184)/2.716</f>
        <v>8655552331.1683502</v>
      </c>
      <c r="N37" s="477">
        <f>2607354309.06995+188428717.2/2.615+185536580.8/2.666+186649331.7/2.716</f>
        <v>2817726935.8973589</v>
      </c>
      <c r="O37" s="448">
        <f t="shared" ref="O37:O45" si="1">K37-M37</f>
        <v>17743733999.83165</v>
      </c>
      <c r="P37" s="140" t="s">
        <v>91</v>
      </c>
      <c r="Q37" s="204" t="s">
        <v>498</v>
      </c>
      <c r="R37" s="8"/>
      <c r="S37" s="5"/>
    </row>
    <row r="38" spans="1:19" ht="86.25" customHeight="1" outlineLevel="1" x14ac:dyDescent="0.25">
      <c r="A38" s="434">
        <v>21</v>
      </c>
      <c r="B38" s="460" t="s">
        <v>25</v>
      </c>
      <c r="C38" s="461" t="s">
        <v>92</v>
      </c>
      <c r="D38" s="461" t="s">
        <v>93</v>
      </c>
      <c r="E38" s="461" t="s">
        <v>525</v>
      </c>
      <c r="F38" s="461" t="s">
        <v>497</v>
      </c>
      <c r="G38" s="439" t="s">
        <v>317</v>
      </c>
      <c r="H38" s="437" t="s">
        <v>94</v>
      </c>
      <c r="I38" s="467" t="s">
        <v>51</v>
      </c>
      <c r="J38" s="477">
        <v>8988290</v>
      </c>
      <c r="K38" s="477">
        <v>8988290</v>
      </c>
      <c r="L38" s="478">
        <v>5.0000000000000001E-3</v>
      </c>
      <c r="M38" s="477">
        <f>4199999.97+600000+600000+289644000/482.74+290820000/484.7+286458000/477.43+600000+600000+231939215.4/394.26</f>
        <v>8988289.9699999988</v>
      </c>
      <c r="N38" s="477">
        <f>838542.942447016+522591.6/394.26</f>
        <v>839868.44237092405</v>
      </c>
      <c r="O38" s="448">
        <f t="shared" si="1"/>
        <v>3.0000001192092896E-2</v>
      </c>
      <c r="P38" s="140" t="s">
        <v>76</v>
      </c>
      <c r="Q38" s="204" t="s">
        <v>498</v>
      </c>
      <c r="R38" s="8"/>
      <c r="S38" s="5"/>
    </row>
    <row r="39" spans="1:19" ht="73.5" customHeight="1" outlineLevel="1" x14ac:dyDescent="0.25">
      <c r="A39" s="434">
        <v>22</v>
      </c>
      <c r="B39" s="460" t="s">
        <v>95</v>
      </c>
      <c r="C39" s="461" t="s">
        <v>92</v>
      </c>
      <c r="D39" s="461" t="s">
        <v>96</v>
      </c>
      <c r="E39" s="461" t="s">
        <v>526</v>
      </c>
      <c r="F39" s="461" t="s">
        <v>497</v>
      </c>
      <c r="G39" s="43" t="s">
        <v>318</v>
      </c>
      <c r="H39" s="477" t="s">
        <v>97</v>
      </c>
      <c r="I39" s="40" t="s">
        <v>2</v>
      </c>
      <c r="J39" s="477">
        <v>1757100000</v>
      </c>
      <c r="K39" s="477">
        <v>1757100000</v>
      </c>
      <c r="L39" s="476">
        <v>7.4999999999999997E-3</v>
      </c>
      <c r="M39" s="477">
        <f>439275000+62753571.5+62753571.5+62753571.3+62753571.4+62753571.4+62753571.4+62753571.5+62753571.5+62753571.5</f>
        <v>1004057142.9999999</v>
      </c>
      <c r="N39" s="477">
        <f>303383430.5+3313904.4+3032802.7+3076644.3+2814884.5</f>
        <v>315621666.39999998</v>
      </c>
      <c r="O39" s="448">
        <f t="shared" si="1"/>
        <v>753042857.00000012</v>
      </c>
      <c r="P39" s="140" t="s">
        <v>76</v>
      </c>
      <c r="Q39" s="204" t="s">
        <v>498</v>
      </c>
      <c r="R39" s="8"/>
      <c r="S39" s="5"/>
    </row>
    <row r="40" spans="1:19" ht="82.5" customHeight="1" outlineLevel="1" x14ac:dyDescent="0.25">
      <c r="A40" s="442">
        <v>23</v>
      </c>
      <c r="B40" s="460" t="s">
        <v>95</v>
      </c>
      <c r="C40" s="461" t="s">
        <v>98</v>
      </c>
      <c r="D40" s="461" t="s">
        <v>463</v>
      </c>
      <c r="E40" s="461"/>
      <c r="F40" s="461" t="s">
        <v>441</v>
      </c>
      <c r="G40" s="43" t="s">
        <v>509</v>
      </c>
      <c r="H40" s="477" t="s">
        <v>99</v>
      </c>
      <c r="I40" s="40" t="s">
        <v>2</v>
      </c>
      <c r="J40" s="477">
        <v>18700000000</v>
      </c>
      <c r="K40" s="477">
        <v>18700000000</v>
      </c>
      <c r="L40" s="446">
        <v>7.4999999999999997E-2</v>
      </c>
      <c r="M40" s="477">
        <f>890476190.5+890476190.5+890476190.5+890476190.5+890476190.5</f>
        <v>4452380952.5</v>
      </c>
      <c r="N40" s="477">
        <f>1333335616.4+703171232.9+699328767.1+670052837.5+632909002+602718199.6+569233855.2</f>
        <v>5210749510.6999998</v>
      </c>
      <c r="O40" s="448">
        <f t="shared" si="1"/>
        <v>14247619047.5</v>
      </c>
      <c r="P40" s="140" t="s">
        <v>76</v>
      </c>
      <c r="Q40" s="204" t="s">
        <v>498</v>
      </c>
      <c r="R40" s="8"/>
      <c r="S40" s="5"/>
    </row>
    <row r="41" spans="1:19" ht="63.75" customHeight="1" outlineLevel="1" x14ac:dyDescent="0.25">
      <c r="A41" s="442">
        <v>24</v>
      </c>
      <c r="B41" s="460" t="s">
        <v>95</v>
      </c>
      <c r="C41" s="443" t="s">
        <v>278</v>
      </c>
      <c r="D41" s="461" t="s">
        <v>463</v>
      </c>
      <c r="E41" s="443"/>
      <c r="F41" s="461" t="s">
        <v>441</v>
      </c>
      <c r="G41" s="43" t="s">
        <v>510</v>
      </c>
      <c r="H41" s="477" t="s">
        <v>265</v>
      </c>
      <c r="I41" s="40" t="s">
        <v>2</v>
      </c>
      <c r="J41" s="477">
        <v>25000000000</v>
      </c>
      <c r="K41" s="477">
        <v>25000000000</v>
      </c>
      <c r="L41" s="446">
        <v>0.09</v>
      </c>
      <c r="M41" s="477">
        <f>1190476190.4+1190476190.5+1190476190.5</f>
        <v>3571428571.4000001</v>
      </c>
      <c r="N41" s="477">
        <f>1171232876.7+1121917808.3+1128082191.8+1121917808.2+1074363992.2+1020645792.6</f>
        <v>6638160469.8000002</v>
      </c>
      <c r="O41" s="448">
        <f t="shared" si="1"/>
        <v>21428571428.599998</v>
      </c>
      <c r="P41" s="140" t="s">
        <v>76</v>
      </c>
      <c r="Q41" s="204" t="s">
        <v>498</v>
      </c>
      <c r="R41" s="8"/>
      <c r="S41" s="5"/>
    </row>
    <row r="42" spans="1:19" ht="78.75" customHeight="1" outlineLevel="1" x14ac:dyDescent="0.25">
      <c r="A42" s="532">
        <v>25</v>
      </c>
      <c r="B42" s="451" t="s">
        <v>95</v>
      </c>
      <c r="C42" s="521" t="s">
        <v>100</v>
      </c>
      <c r="D42" s="437" t="s">
        <v>472</v>
      </c>
      <c r="E42" s="521" t="s">
        <v>527</v>
      </c>
      <c r="F42" s="437" t="s">
        <v>497</v>
      </c>
      <c r="G42" s="541" t="s">
        <v>321</v>
      </c>
      <c r="H42" s="543" t="s">
        <v>102</v>
      </c>
      <c r="I42" s="467" t="s">
        <v>51</v>
      </c>
      <c r="J42" s="36">
        <v>270000000</v>
      </c>
      <c r="K42" s="477">
        <v>170663629.05000004</v>
      </c>
      <c r="L42" s="465">
        <v>0.03</v>
      </c>
      <c r="M42" s="477">
        <f>51199088.7002228+3370009369.8/394.93+3295429324.9/386.19+3461143748.2/405.61+3310959715/388.01</f>
        <v>85331814.500250429</v>
      </c>
      <c r="N42" s="477">
        <f>20309911.275649+723428666.7/394.93+646453366.1/386.19+636850451.3/405.61+552378447/388.01</f>
        <v>26809351.07566011</v>
      </c>
      <c r="O42" s="448">
        <f t="shared" si="1"/>
        <v>85331814.549749613</v>
      </c>
      <c r="P42" s="521" t="s">
        <v>84</v>
      </c>
      <c r="Q42" s="469" t="s">
        <v>498</v>
      </c>
      <c r="R42" s="8"/>
      <c r="S42" s="5"/>
    </row>
    <row r="43" spans="1:19" ht="71.25" customHeight="1" outlineLevel="1" x14ac:dyDescent="0.25">
      <c r="A43" s="533"/>
      <c r="B43" s="451" t="s">
        <v>95</v>
      </c>
      <c r="C43" s="528"/>
      <c r="D43" s="461" t="s">
        <v>463</v>
      </c>
      <c r="E43" s="528"/>
      <c r="F43" s="461" t="s">
        <v>499</v>
      </c>
      <c r="G43" s="542"/>
      <c r="H43" s="544"/>
      <c r="I43" s="40" t="s">
        <v>2</v>
      </c>
      <c r="J43" s="37">
        <v>1265847400</v>
      </c>
      <c r="K43" s="477">
        <f>9509488626+108542329</f>
        <v>9618030955</v>
      </c>
      <c r="L43" s="465">
        <v>0.03</v>
      </c>
      <c r="M43" s="477">
        <f>2858334735.47632+482835444.3+482835444.2+482835444.3+482835444.2</f>
        <v>4789676512.4763193</v>
      </c>
      <c r="N43" s="477">
        <f>1045375895.11175+103648675.3+94716219.7+88841721.7+80553046.6</f>
        <v>1413135558.4117501</v>
      </c>
      <c r="O43" s="448">
        <f t="shared" si="1"/>
        <v>4828354442.5236807</v>
      </c>
      <c r="P43" s="528"/>
      <c r="Q43" s="470" t="s">
        <v>498</v>
      </c>
      <c r="R43" s="8"/>
      <c r="S43" s="5"/>
    </row>
    <row r="44" spans="1:19" ht="79.5" customHeight="1" outlineLevel="1" x14ac:dyDescent="0.25">
      <c r="A44" s="434">
        <v>26</v>
      </c>
      <c r="B44" s="460" t="s">
        <v>95</v>
      </c>
      <c r="C44" s="461" t="s">
        <v>103</v>
      </c>
      <c r="D44" s="531" t="s">
        <v>49</v>
      </c>
      <c r="E44" s="521" t="s">
        <v>528</v>
      </c>
      <c r="F44" s="436" t="s">
        <v>497</v>
      </c>
      <c r="G44" s="438" t="s">
        <v>322</v>
      </c>
      <c r="H44" s="464" t="s">
        <v>104</v>
      </c>
      <c r="I44" s="31" t="s">
        <v>51</v>
      </c>
      <c r="J44" s="36">
        <v>8907500</v>
      </c>
      <c r="K44" s="477">
        <v>8907384.7100000009</v>
      </c>
      <c r="L44" s="446" t="s">
        <v>368</v>
      </c>
      <c r="M44" s="477"/>
      <c r="N44" s="477">
        <f>1241236.45+96159781.6/386.38+118034920.8/403.19+119269571.9/387.69</f>
        <v>2090504.2500873837</v>
      </c>
      <c r="O44" s="457">
        <f t="shared" si="1"/>
        <v>8907384.7100000009</v>
      </c>
      <c r="P44" s="440" t="s">
        <v>105</v>
      </c>
      <c r="Q44" s="469" t="s">
        <v>498</v>
      </c>
      <c r="R44" s="8"/>
      <c r="S44" s="5"/>
    </row>
    <row r="45" spans="1:19" ht="116.25" customHeight="1" outlineLevel="1" thickBot="1" x14ac:dyDescent="0.3">
      <c r="A45" s="434">
        <v>27</v>
      </c>
      <c r="B45" s="435" t="s">
        <v>88</v>
      </c>
      <c r="C45" s="453" t="s">
        <v>103</v>
      </c>
      <c r="D45" s="594"/>
      <c r="E45" s="528"/>
      <c r="F45" s="436" t="s">
        <v>497</v>
      </c>
      <c r="G45" s="438" t="s">
        <v>323</v>
      </c>
      <c r="H45" s="51" t="s">
        <v>104</v>
      </c>
      <c r="I45" s="49" t="s">
        <v>51</v>
      </c>
      <c r="J45" s="52">
        <v>21092500</v>
      </c>
      <c r="K45" s="477">
        <v>21092210.790000003</v>
      </c>
      <c r="L45" s="298" t="s">
        <v>368</v>
      </c>
      <c r="M45" s="477"/>
      <c r="N45" s="477">
        <f>3081286.01+227668040/386.38+279535083/403.19+282423985/387.69</f>
        <v>5092306.983008015</v>
      </c>
      <c r="O45" s="456">
        <f t="shared" si="1"/>
        <v>21092210.790000003</v>
      </c>
      <c r="P45" s="440" t="s">
        <v>106</v>
      </c>
      <c r="Q45" s="419" t="s">
        <v>498</v>
      </c>
      <c r="R45" s="8"/>
      <c r="S45" s="5"/>
    </row>
    <row r="46" spans="1:19" s="9" customFormat="1" ht="15" customHeight="1" x14ac:dyDescent="0.25">
      <c r="A46" s="591" t="s">
        <v>115</v>
      </c>
      <c r="B46" s="592"/>
      <c r="C46" s="593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325"/>
      <c r="R46" s="8"/>
      <c r="S46" s="5"/>
    </row>
    <row r="47" spans="1:19" s="9" customFormat="1" ht="15" customHeight="1" x14ac:dyDescent="0.25">
      <c r="A47" s="585"/>
      <c r="B47" s="586"/>
      <c r="C47" s="587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318"/>
      <c r="R47" s="8"/>
      <c r="S47" s="5"/>
    </row>
    <row r="48" spans="1:19" s="9" customFormat="1" ht="15" customHeight="1" x14ac:dyDescent="0.25">
      <c r="A48" s="585"/>
      <c r="B48" s="586"/>
      <c r="C48" s="587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318"/>
      <c r="R48" s="8"/>
      <c r="S48" s="5"/>
    </row>
    <row r="49" spans="1:19" s="9" customFormat="1" ht="15" customHeight="1" x14ac:dyDescent="0.25">
      <c r="A49" s="585"/>
      <c r="B49" s="586"/>
      <c r="C49" s="587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12748532590.394199</v>
      </c>
      <c r="N49" s="56">
        <f>SUMIF($I$5:$I$45,I49,$N$5:$N$45)</f>
        <v>3651976207.5861864</v>
      </c>
      <c r="O49" s="56">
        <f>SUMIF($I$5:$I$45,I49,$O$5:$O$45)</f>
        <v>19110717052.605801</v>
      </c>
      <c r="P49" s="149"/>
      <c r="Q49" s="319"/>
      <c r="R49" s="8"/>
      <c r="S49" s="5"/>
    </row>
    <row r="50" spans="1:19" s="9" customFormat="1" ht="15" customHeight="1" thickBot="1" x14ac:dyDescent="0.3">
      <c r="A50" s="588"/>
      <c r="B50" s="589"/>
      <c r="C50" s="590"/>
      <c r="D50" s="57"/>
      <c r="E50" s="57"/>
      <c r="F50" s="57"/>
      <c r="G50" s="302"/>
      <c r="H50" s="303"/>
      <c r="I50" s="304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20"/>
      <c r="R50" s="8"/>
      <c r="S50" s="5"/>
    </row>
    <row r="51" spans="1:19" ht="96.75" customHeight="1" outlineLevel="1" x14ac:dyDescent="0.25">
      <c r="A51" s="433">
        <v>28</v>
      </c>
      <c r="B51" s="452" t="s">
        <v>116</v>
      </c>
      <c r="C51" s="435" t="s">
        <v>117</v>
      </c>
      <c r="D51" s="436" t="s">
        <v>118</v>
      </c>
      <c r="E51" s="438" t="s">
        <v>529</v>
      </c>
      <c r="F51" s="436" t="s">
        <v>497</v>
      </c>
      <c r="G51" s="438" t="s">
        <v>324</v>
      </c>
      <c r="H51" s="438" t="s">
        <v>119</v>
      </c>
      <c r="I51" s="31" t="s">
        <v>29</v>
      </c>
      <c r="J51" s="464">
        <v>5000000</v>
      </c>
      <c r="K51" s="464">
        <v>5000000</v>
      </c>
      <c r="L51" s="447" t="s">
        <v>120</v>
      </c>
      <c r="M51" s="464">
        <f>4166666.69+208333.33+88124985.9/423+87866652.7/421.76</f>
        <v>4791666.6202181326</v>
      </c>
      <c r="N51" s="464">
        <f>553011.29+6019459.2/423+4555355.1/421.76</f>
        <v>578042.51297989383</v>
      </c>
      <c r="O51" s="464">
        <f t="shared" ref="O51:O56" si="2">K51-M51</f>
        <v>208333.37978186738</v>
      </c>
      <c r="P51" s="441" t="s">
        <v>76</v>
      </c>
      <c r="Q51" s="470" t="s">
        <v>498</v>
      </c>
      <c r="S51" s="5"/>
    </row>
    <row r="52" spans="1:19" ht="86.25" customHeight="1" outlineLevel="1" x14ac:dyDescent="0.25">
      <c r="A52" s="442">
        <v>29</v>
      </c>
      <c r="B52" s="451" t="s">
        <v>121</v>
      </c>
      <c r="C52" s="443" t="s">
        <v>122</v>
      </c>
      <c r="D52" s="445" t="s">
        <v>118</v>
      </c>
      <c r="E52" s="438" t="s">
        <v>530</v>
      </c>
      <c r="F52" s="445" t="s">
        <v>497</v>
      </c>
      <c r="G52" s="444" t="s">
        <v>325</v>
      </c>
      <c r="H52" s="444" t="s">
        <v>123</v>
      </c>
      <c r="I52" s="467" t="s">
        <v>29</v>
      </c>
      <c r="J52" s="477">
        <v>5000000</v>
      </c>
      <c r="K52" s="477">
        <v>5000000</v>
      </c>
      <c r="L52" s="446" t="s">
        <v>120</v>
      </c>
      <c r="M52" s="477">
        <f>3125000+208333.33+88124985.9/423+87866652.7/421.76</f>
        <v>3749999.9302181336</v>
      </c>
      <c r="N52" s="477">
        <f>320254.8+16091046.9/423+15943700.8/421.76</f>
        <v>396097.88072837633</v>
      </c>
      <c r="O52" s="477">
        <f t="shared" si="2"/>
        <v>1250000.0697818664</v>
      </c>
      <c r="P52" s="521" t="s">
        <v>76</v>
      </c>
      <c r="Q52" s="469" t="s">
        <v>498</v>
      </c>
      <c r="S52" s="5"/>
    </row>
    <row r="53" spans="1:19" ht="84.75" customHeight="1" outlineLevel="1" x14ac:dyDescent="0.25">
      <c r="A53" s="442">
        <v>30</v>
      </c>
      <c r="B53" s="451" t="s">
        <v>121</v>
      </c>
      <c r="C53" s="443"/>
      <c r="D53" s="445" t="s">
        <v>463</v>
      </c>
      <c r="E53" s="437"/>
      <c r="F53" s="445" t="s">
        <v>499</v>
      </c>
      <c r="G53" s="444"/>
      <c r="H53" s="444"/>
      <c r="I53" s="47" t="s">
        <v>2</v>
      </c>
      <c r="J53" s="477"/>
      <c r="K53" s="477">
        <v>66094595</v>
      </c>
      <c r="L53" s="446" t="s">
        <v>120</v>
      </c>
      <c r="M53" s="477">
        <f>6609471.44+6609433.4+6609473.7+6609459.5</f>
        <v>26437838.039999999</v>
      </c>
      <c r="N53" s="477">
        <f>1088882.59773529+1190830.4+1204391.2</f>
        <v>3484104.19773529</v>
      </c>
      <c r="O53" s="477">
        <f t="shared" si="2"/>
        <v>39656756.960000001</v>
      </c>
      <c r="P53" s="528"/>
      <c r="Q53" s="470" t="s">
        <v>498</v>
      </c>
      <c r="S53" s="5"/>
    </row>
    <row r="54" spans="1:19" ht="89.25" customHeight="1" outlineLevel="1" x14ac:dyDescent="0.25">
      <c r="A54" s="434">
        <v>31</v>
      </c>
      <c r="B54" s="460" t="s">
        <v>124</v>
      </c>
      <c r="C54" s="461" t="s">
        <v>125</v>
      </c>
      <c r="D54" s="437" t="s">
        <v>126</v>
      </c>
      <c r="E54" s="439" t="s">
        <v>531</v>
      </c>
      <c r="F54" s="437" t="s">
        <v>497</v>
      </c>
      <c r="G54" s="439" t="s">
        <v>326</v>
      </c>
      <c r="H54" s="439" t="s">
        <v>127</v>
      </c>
      <c r="I54" s="467" t="s">
        <v>29</v>
      </c>
      <c r="J54" s="477">
        <v>5000000</v>
      </c>
      <c r="K54" s="477">
        <v>5000000</v>
      </c>
      <c r="L54" s="476" t="s">
        <v>120</v>
      </c>
      <c r="M54" s="477">
        <f>3227272.74+97124988.4/427.35+96136352.1/423+95854533.9/421.76</f>
        <v>3909090.8400054076</v>
      </c>
      <c r="N54" s="477">
        <f>475298.336411511+13707853.3/421.76</f>
        <v>507799.88539671584</v>
      </c>
      <c r="O54" s="477">
        <f t="shared" si="2"/>
        <v>1090909.1599945924</v>
      </c>
      <c r="P54" s="140" t="s">
        <v>76</v>
      </c>
      <c r="Q54" s="204" t="s">
        <v>498</v>
      </c>
      <c r="S54" s="5"/>
    </row>
    <row r="55" spans="1:19" ht="57" customHeight="1" outlineLevel="1" x14ac:dyDescent="0.25">
      <c r="A55" s="532">
        <v>32</v>
      </c>
      <c r="B55" s="451" t="s">
        <v>128</v>
      </c>
      <c r="C55" s="521" t="s">
        <v>129</v>
      </c>
      <c r="D55" s="445" t="s">
        <v>126</v>
      </c>
      <c r="E55" s="439" t="s">
        <v>532</v>
      </c>
      <c r="F55" s="445" t="s">
        <v>497</v>
      </c>
      <c r="G55" s="444" t="s">
        <v>327</v>
      </c>
      <c r="H55" s="444" t="s">
        <v>130</v>
      </c>
      <c r="I55" s="47" t="s">
        <v>29</v>
      </c>
      <c r="J55" s="463">
        <v>5000000</v>
      </c>
      <c r="K55" s="477">
        <v>3000000</v>
      </c>
      <c r="L55" s="45" t="s">
        <v>279</v>
      </c>
      <c r="M55" s="477">
        <f>676724.137931034+46797420.6/423+46660236.7/421.76</f>
        <v>897988.53799742239</v>
      </c>
      <c r="N55" s="477">
        <f>222742.9+6254858.7/423+5914494.4/421.76</f>
        <v>251553.16494688921</v>
      </c>
      <c r="O55" s="463">
        <f t="shared" si="2"/>
        <v>2102011.4620025777</v>
      </c>
      <c r="P55" s="521" t="s">
        <v>76</v>
      </c>
      <c r="Q55" s="469" t="s">
        <v>498</v>
      </c>
      <c r="S55" s="5"/>
    </row>
    <row r="56" spans="1:19" ht="57" customHeight="1" outlineLevel="1" thickBot="1" x14ac:dyDescent="0.3">
      <c r="A56" s="536"/>
      <c r="B56" s="451" t="s">
        <v>128</v>
      </c>
      <c r="C56" s="538"/>
      <c r="D56" s="445" t="s">
        <v>463</v>
      </c>
      <c r="E56" s="445"/>
      <c r="F56" s="445" t="s">
        <v>499</v>
      </c>
      <c r="G56" s="444" t="s">
        <v>327</v>
      </c>
      <c r="H56" s="444" t="s">
        <v>266</v>
      </c>
      <c r="I56" s="47" t="s">
        <v>2</v>
      </c>
      <c r="J56" s="463"/>
      <c r="K56" s="477">
        <v>100836059.51000001</v>
      </c>
      <c r="L56" s="45">
        <v>1.404E-2</v>
      </c>
      <c r="M56" s="477">
        <f>9751561.92837819+3148517+4073473.9</f>
        <v>16973552.828378189</v>
      </c>
      <c r="N56" s="477">
        <f>1328413.8+491137.6+435674.1</f>
        <v>2255225.5</v>
      </c>
      <c r="O56" s="463">
        <f t="shared" si="2"/>
        <v>83862506.68162182</v>
      </c>
      <c r="P56" s="538"/>
      <c r="Q56" s="472" t="s">
        <v>498</v>
      </c>
      <c r="S56" s="5"/>
    </row>
    <row r="57" spans="1:19" s="9" customFormat="1" ht="15" customHeight="1" x14ac:dyDescent="0.25">
      <c r="A57" s="591" t="s">
        <v>131</v>
      </c>
      <c r="B57" s="592"/>
      <c r="C57" s="593"/>
      <c r="D57" s="305"/>
      <c r="E57" s="305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325"/>
      <c r="R57" s="8"/>
      <c r="S57" s="5"/>
    </row>
    <row r="58" spans="1:19" s="9" customFormat="1" ht="15" customHeight="1" x14ac:dyDescent="0.25">
      <c r="A58" s="585"/>
      <c r="B58" s="586"/>
      <c r="C58" s="587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318"/>
      <c r="R58" s="8"/>
      <c r="S58" s="5"/>
    </row>
    <row r="59" spans="1:19" s="9" customFormat="1" ht="15" customHeight="1" x14ac:dyDescent="0.25">
      <c r="A59" s="585"/>
      <c r="B59" s="586"/>
      <c r="C59" s="587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8"/>
      <c r="R59" s="8"/>
      <c r="S59" s="5"/>
    </row>
    <row r="60" spans="1:19" s="9" customFormat="1" ht="15" customHeight="1" thickBot="1" x14ac:dyDescent="0.3">
      <c r="A60" s="588"/>
      <c r="B60" s="589"/>
      <c r="C60" s="590"/>
      <c r="D60" s="306"/>
      <c r="E60" s="306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20"/>
      <c r="R60" s="8"/>
      <c r="S60" s="5"/>
    </row>
    <row r="61" spans="1:19" s="2" customFormat="1" ht="91.5" customHeight="1" outlineLevel="1" x14ac:dyDescent="0.25">
      <c r="A61" s="434">
        <v>33</v>
      </c>
      <c r="B61" s="461" t="s">
        <v>132</v>
      </c>
      <c r="C61" s="461" t="s">
        <v>133</v>
      </c>
      <c r="D61" s="435" t="s">
        <v>473</v>
      </c>
      <c r="E61" s="435"/>
      <c r="F61" s="437" t="s">
        <v>441</v>
      </c>
      <c r="G61" s="58" t="s">
        <v>328</v>
      </c>
      <c r="H61" s="461" t="s">
        <v>134</v>
      </c>
      <c r="I61" s="461" t="s">
        <v>2</v>
      </c>
      <c r="J61" s="477">
        <v>74000000000</v>
      </c>
      <c r="K61" s="477">
        <v>74000000000</v>
      </c>
      <c r="L61" s="476" t="s">
        <v>135</v>
      </c>
      <c r="M61" s="477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77">
        <f>27971909177.5+338144.2+498915.4+526901.3+642474.8+795979.5+10421637.5+86178.9+156588.3+335841</f>
        <v>27985711838.400002</v>
      </c>
      <c r="O61" s="448">
        <f>K61-M61</f>
        <v>8809523809.2999802</v>
      </c>
      <c r="P61" s="140" t="s">
        <v>76</v>
      </c>
      <c r="Q61" s="204" t="s">
        <v>498</v>
      </c>
      <c r="R61" s="1"/>
      <c r="S61" s="5"/>
    </row>
    <row r="62" spans="1:19" s="2" customFormat="1" ht="91.5" customHeight="1" outlineLevel="1" x14ac:dyDescent="0.25">
      <c r="A62" s="434">
        <v>34</v>
      </c>
      <c r="B62" s="461" t="s">
        <v>132</v>
      </c>
      <c r="C62" s="461" t="s">
        <v>136</v>
      </c>
      <c r="D62" s="461" t="s">
        <v>27</v>
      </c>
      <c r="E62" s="461"/>
      <c r="F62" s="437" t="s">
        <v>441</v>
      </c>
      <c r="G62" s="58" t="s">
        <v>329</v>
      </c>
      <c r="H62" s="461" t="s">
        <v>137</v>
      </c>
      <c r="I62" s="461" t="s">
        <v>2</v>
      </c>
      <c r="J62" s="477">
        <v>2035890300</v>
      </c>
      <c r="K62" s="477">
        <v>2035890300</v>
      </c>
      <c r="L62" s="476" t="s">
        <v>44</v>
      </c>
      <c r="M62" s="477">
        <v>0</v>
      </c>
      <c r="N62" s="477">
        <v>0</v>
      </c>
      <c r="O62" s="448">
        <f t="shared" ref="O62:O67" si="3">K62-M62</f>
        <v>2035890300</v>
      </c>
      <c r="P62" s="140" t="s">
        <v>76</v>
      </c>
      <c r="Q62" s="204" t="s">
        <v>498</v>
      </c>
      <c r="R62" s="1"/>
      <c r="S62" s="5"/>
    </row>
    <row r="63" spans="1:19" ht="67.5" outlineLevel="1" x14ac:dyDescent="0.25">
      <c r="A63" s="433">
        <v>35</v>
      </c>
      <c r="B63" s="460" t="s">
        <v>138</v>
      </c>
      <c r="C63" s="461" t="s">
        <v>139</v>
      </c>
      <c r="D63" s="437" t="s">
        <v>27</v>
      </c>
      <c r="E63" s="437" t="s">
        <v>511</v>
      </c>
      <c r="F63" s="437"/>
      <c r="G63" s="623" t="s">
        <v>330</v>
      </c>
      <c r="H63" s="437" t="s">
        <v>140</v>
      </c>
      <c r="I63" s="467" t="s">
        <v>29</v>
      </c>
      <c r="J63" s="477">
        <v>3500000</v>
      </c>
      <c r="K63" s="477">
        <v>3500000</v>
      </c>
      <c r="L63" s="476">
        <v>7.4999999999999997E-3</v>
      </c>
      <c r="M63" s="477">
        <f>696000+31440060/542.07+58000+24255020/418.19+24400600/420.7+25920780/446.91+24152360/416.42</f>
        <v>1044000</v>
      </c>
      <c r="N63" s="477">
        <f>399592.922231146+10515+10297.5+4215355.2/418.19+4149153.8/420.7+4310447/446.91+3925799.6/416.42</f>
        <v>459420.42258194601</v>
      </c>
      <c r="O63" s="448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434">
        <v>36</v>
      </c>
      <c r="B64" s="460" t="s">
        <v>141</v>
      </c>
      <c r="C64" s="461" t="s">
        <v>142</v>
      </c>
      <c r="D64" s="461" t="s">
        <v>143</v>
      </c>
      <c r="E64" s="461"/>
      <c r="F64" s="437" t="s">
        <v>441</v>
      </c>
      <c r="G64" s="449" t="s">
        <v>331</v>
      </c>
      <c r="H64" s="437" t="s">
        <v>144</v>
      </c>
      <c r="I64" s="467" t="s">
        <v>51</v>
      </c>
      <c r="J64" s="448">
        <v>1689937.9</v>
      </c>
      <c r="K64" s="477">
        <v>1689937.9</v>
      </c>
      <c r="L64" s="462">
        <v>5.9900000000000002E-2</v>
      </c>
      <c r="M64" s="477">
        <f>872805.23+28165+28165+28165</f>
        <v>957300.23</v>
      </c>
      <c r="N64" s="477">
        <f>1964862.47+25588.58+24871.58+24276.42</f>
        <v>2039599.05</v>
      </c>
      <c r="O64" s="448">
        <f t="shared" si="3"/>
        <v>732637.66999999993</v>
      </c>
      <c r="P64" s="142" t="s">
        <v>76</v>
      </c>
      <c r="Q64" s="321" t="s">
        <v>498</v>
      </c>
      <c r="S64" s="5"/>
    </row>
    <row r="65" spans="1:19" ht="98.25" customHeight="1" outlineLevel="1" x14ac:dyDescent="0.25">
      <c r="A65" s="433">
        <v>37</v>
      </c>
      <c r="B65" s="460" t="s">
        <v>145</v>
      </c>
      <c r="C65" s="461" t="s">
        <v>146</v>
      </c>
      <c r="D65" s="461" t="s">
        <v>143</v>
      </c>
      <c r="E65" s="461"/>
      <c r="F65" s="437" t="s">
        <v>441</v>
      </c>
      <c r="G65" s="449" t="s">
        <v>332</v>
      </c>
      <c r="H65" s="437" t="s">
        <v>147</v>
      </c>
      <c r="I65" s="467" t="s">
        <v>51</v>
      </c>
      <c r="J65" s="448">
        <v>2828000</v>
      </c>
      <c r="K65" s="477">
        <v>2828000</v>
      </c>
      <c r="L65" s="462">
        <v>5.9900000000000002E-2</v>
      </c>
      <c r="M65" s="448">
        <f>1128831.5+47000+47000</f>
        <v>1222831.5</v>
      </c>
      <c r="N65" s="477">
        <f>1731608.85+50775.51+49371.71</f>
        <v>1831756.07</v>
      </c>
      <c r="O65" s="448">
        <f t="shared" si="3"/>
        <v>1605168.5</v>
      </c>
      <c r="P65" s="142" t="s">
        <v>76</v>
      </c>
      <c r="Q65" s="321" t="s">
        <v>498</v>
      </c>
      <c r="S65" s="5"/>
    </row>
    <row r="66" spans="1:19" s="4" customFormat="1" ht="140.25" customHeight="1" outlineLevel="1" x14ac:dyDescent="0.25">
      <c r="A66" s="434">
        <v>38</v>
      </c>
      <c r="B66" s="460" t="s">
        <v>148</v>
      </c>
      <c r="C66" s="461" t="s">
        <v>149</v>
      </c>
      <c r="D66" s="461" t="s">
        <v>143</v>
      </c>
      <c r="E66" s="461"/>
      <c r="F66" s="437" t="s">
        <v>441</v>
      </c>
      <c r="G66" s="437" t="s">
        <v>333</v>
      </c>
      <c r="H66" s="437" t="s">
        <v>150</v>
      </c>
      <c r="I66" s="461" t="s">
        <v>2</v>
      </c>
      <c r="J66" s="60">
        <v>2092000000</v>
      </c>
      <c r="K66" s="477">
        <v>2092000000</v>
      </c>
      <c r="L66" s="61">
        <v>0.02</v>
      </c>
      <c r="M66" s="477">
        <f>354576270+35457627.1+35457627+35457627+35457627</f>
        <v>496406778.10000002</v>
      </c>
      <c r="N66" s="477">
        <f>426427783.87+17517039.3+16879773.4+16802058.1+16265822.2</f>
        <v>493892476.87</v>
      </c>
      <c r="O66" s="448">
        <f t="shared" si="3"/>
        <v>1595593221.9000001</v>
      </c>
      <c r="P66" s="142" t="s">
        <v>76</v>
      </c>
      <c r="Q66" s="321" t="s">
        <v>498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441</v>
      </c>
      <c r="G67" s="74" t="s">
        <v>334</v>
      </c>
      <c r="H67" s="74" t="s">
        <v>152</v>
      </c>
      <c r="I67" s="74" t="s">
        <v>2</v>
      </c>
      <c r="J67" s="307">
        <v>2187306400</v>
      </c>
      <c r="K67" s="307">
        <v>2187306400</v>
      </c>
      <c r="L67" s="308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324" t="s">
        <v>498</v>
      </c>
      <c r="R67" s="3"/>
      <c r="S67" s="5"/>
    </row>
    <row r="68" spans="1:19" s="9" customFormat="1" ht="15" customHeight="1" x14ac:dyDescent="0.25">
      <c r="A68" s="585" t="s">
        <v>153</v>
      </c>
      <c r="B68" s="586"/>
      <c r="C68" s="587"/>
      <c r="D68" s="309"/>
      <c r="E68" s="309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5"/>
      <c r="R68" s="8"/>
      <c r="S68" s="5"/>
    </row>
    <row r="69" spans="1:19" s="9" customFormat="1" ht="15" customHeight="1" x14ac:dyDescent="0.25">
      <c r="A69" s="585"/>
      <c r="B69" s="586"/>
      <c r="C69" s="587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28835812185.77</v>
      </c>
      <c r="O69" s="11">
        <f>SUMIF($I$61:$I$67,I69,$O$61:$O$67)</f>
        <v>14628313731.19998</v>
      </c>
      <c r="P69" s="148"/>
      <c r="Q69" s="318"/>
      <c r="R69" s="8"/>
      <c r="S69" s="5"/>
    </row>
    <row r="70" spans="1:19" s="9" customFormat="1" ht="15" customHeight="1" x14ac:dyDescent="0.25">
      <c r="A70" s="585"/>
      <c r="B70" s="586"/>
      <c r="C70" s="587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318"/>
      <c r="R70" s="8"/>
      <c r="S70" s="5"/>
    </row>
    <row r="71" spans="1:19" s="9" customFormat="1" ht="15" customHeight="1" thickBot="1" x14ac:dyDescent="0.3">
      <c r="A71" s="588"/>
      <c r="B71" s="589"/>
      <c r="C71" s="590"/>
      <c r="D71" s="306"/>
      <c r="E71" s="306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20"/>
      <c r="R71" s="8"/>
      <c r="S71" s="5"/>
    </row>
    <row r="72" spans="1:19" s="2" customFormat="1" ht="77.25" customHeight="1" outlineLevel="1" x14ac:dyDescent="0.25">
      <c r="A72" s="434">
        <v>40</v>
      </c>
      <c r="B72" s="460" t="s">
        <v>154</v>
      </c>
      <c r="C72" s="461" t="s">
        <v>155</v>
      </c>
      <c r="D72" s="435" t="s">
        <v>93</v>
      </c>
      <c r="E72" s="435"/>
      <c r="F72" s="436" t="s">
        <v>500</v>
      </c>
      <c r="G72" s="435" t="s">
        <v>335</v>
      </c>
      <c r="H72" s="461" t="s">
        <v>156</v>
      </c>
      <c r="I72" s="467" t="s">
        <v>51</v>
      </c>
      <c r="J72" s="477">
        <v>361332</v>
      </c>
      <c r="K72" s="477">
        <v>361332</v>
      </c>
      <c r="L72" s="476">
        <v>7.7700000000000005E-2</v>
      </c>
      <c r="M72" s="477">
        <f>219031+1000000/388.24</f>
        <v>221606.72635483206</v>
      </c>
      <c r="N72" s="477">
        <f>187530</f>
        <v>187530</v>
      </c>
      <c r="O72" s="448">
        <f>K72-M72</f>
        <v>139725.27364516794</v>
      </c>
      <c r="P72" s="140" t="s">
        <v>157</v>
      </c>
      <c r="Q72" s="470"/>
      <c r="R72" s="1"/>
      <c r="S72" s="5"/>
    </row>
    <row r="73" spans="1:19" ht="64.5" customHeight="1" outlineLevel="1" x14ac:dyDescent="0.25">
      <c r="A73" s="434">
        <v>41</v>
      </c>
      <c r="B73" s="460" t="s">
        <v>158</v>
      </c>
      <c r="C73" s="461" t="s">
        <v>159</v>
      </c>
      <c r="D73" s="445" t="s">
        <v>118</v>
      </c>
      <c r="E73" s="445"/>
      <c r="F73" s="445" t="s">
        <v>497</v>
      </c>
      <c r="G73" s="439" t="s">
        <v>336</v>
      </c>
      <c r="H73" s="477" t="s">
        <v>160</v>
      </c>
      <c r="I73" s="467" t="s">
        <v>29</v>
      </c>
      <c r="J73" s="477">
        <v>8000000</v>
      </c>
      <c r="K73" s="477">
        <v>80000</v>
      </c>
      <c r="L73" s="476" t="s">
        <v>44</v>
      </c>
      <c r="M73" s="477">
        <f>10909.09+3636.36+3636.36+1428217/392.76+1554016/427.35+3636.4+3632.85</f>
        <v>32723.821703756206</v>
      </c>
      <c r="N73" s="477">
        <f>105386.95+361.72+42360.02+4761284/392.76+5116448/427.35+12019.8+11989.6</f>
        <v>196213.21988818215</v>
      </c>
      <c r="O73" s="448">
        <f>K73-M73</f>
        <v>47276.178296243794</v>
      </c>
      <c r="P73" s="140" t="s">
        <v>161</v>
      </c>
      <c r="Q73" s="204" t="s">
        <v>498</v>
      </c>
      <c r="S73" s="5"/>
    </row>
    <row r="74" spans="1:19" ht="63" customHeight="1" outlineLevel="1" x14ac:dyDescent="0.25">
      <c r="A74" s="434">
        <v>42</v>
      </c>
      <c r="B74" s="460" t="s">
        <v>158</v>
      </c>
      <c r="C74" s="461" t="s">
        <v>162</v>
      </c>
      <c r="D74" s="445" t="s">
        <v>126</v>
      </c>
      <c r="E74" s="445"/>
      <c r="F74" s="445" t="s">
        <v>497</v>
      </c>
      <c r="G74" s="439" t="s">
        <v>337</v>
      </c>
      <c r="H74" s="477" t="s">
        <v>160</v>
      </c>
      <c r="I74" s="467" t="s">
        <v>29</v>
      </c>
      <c r="J74" s="477">
        <v>8000000</v>
      </c>
      <c r="K74" s="477"/>
      <c r="L74" s="476" t="s">
        <v>44</v>
      </c>
      <c r="M74" s="477"/>
      <c r="N74" s="477"/>
      <c r="O74" s="448">
        <f>K74-M74</f>
        <v>0</v>
      </c>
      <c r="P74" s="140" t="s">
        <v>161</v>
      </c>
      <c r="Q74" s="204" t="s">
        <v>498</v>
      </c>
      <c r="S74" s="5"/>
    </row>
    <row r="75" spans="1:19" ht="71.25" customHeight="1" outlineLevel="1" x14ac:dyDescent="0.25">
      <c r="A75" s="532">
        <v>43</v>
      </c>
      <c r="B75" s="534" t="s">
        <v>163</v>
      </c>
      <c r="C75" s="521" t="s">
        <v>264</v>
      </c>
      <c r="D75" s="445" t="s">
        <v>118</v>
      </c>
      <c r="E75" s="445"/>
      <c r="F75" s="445" t="s">
        <v>497</v>
      </c>
      <c r="G75" s="439" t="s">
        <v>338</v>
      </c>
      <c r="H75" s="521" t="s">
        <v>281</v>
      </c>
      <c r="I75" s="467" t="s">
        <v>29</v>
      </c>
      <c r="J75" s="477">
        <v>5500000</v>
      </c>
      <c r="K75" s="477">
        <f>1384955.78+492272.39+301757.1+219245.55+25340.75+40551.45+228066.75</f>
        <v>2692189.77</v>
      </c>
      <c r="L75" s="476" t="s">
        <v>44</v>
      </c>
      <c r="M75" s="477"/>
      <c r="N75" s="477"/>
      <c r="O75" s="448">
        <f t="shared" ref="O75:O97" si="4">K75-M75</f>
        <v>2692189.77</v>
      </c>
      <c r="P75" s="140" t="s">
        <v>76</v>
      </c>
      <c r="Q75" s="204" t="s">
        <v>501</v>
      </c>
      <c r="S75" s="5"/>
    </row>
    <row r="76" spans="1:19" ht="74.25" customHeight="1" outlineLevel="1" x14ac:dyDescent="0.25">
      <c r="A76" s="533"/>
      <c r="B76" s="527"/>
      <c r="C76" s="528"/>
      <c r="D76" s="445" t="s">
        <v>463</v>
      </c>
      <c r="E76" s="445"/>
      <c r="F76" s="445" t="s">
        <v>499</v>
      </c>
      <c r="G76" s="439"/>
      <c r="H76" s="528"/>
      <c r="I76" s="437" t="s">
        <v>2</v>
      </c>
      <c r="J76" s="477">
        <v>92733053.200000003</v>
      </c>
      <c r="K76" s="477">
        <f>92733053.2+20276600+1679251+16492341.9+20399976.4+42969092+26833268.5</f>
        <v>221383583</v>
      </c>
      <c r="L76" s="476"/>
      <c r="M76" s="477"/>
      <c r="N76" s="477"/>
      <c r="O76" s="448">
        <f t="shared" si="4"/>
        <v>221383583</v>
      </c>
      <c r="P76" s="140"/>
      <c r="Q76" s="204" t="s">
        <v>501</v>
      </c>
      <c r="S76" s="5"/>
    </row>
    <row r="77" spans="1:19" ht="80.25" customHeight="1" outlineLevel="1" x14ac:dyDescent="0.25">
      <c r="A77" s="434">
        <v>44</v>
      </c>
      <c r="B77" s="460" t="s">
        <v>164</v>
      </c>
      <c r="C77" s="461" t="s">
        <v>165</v>
      </c>
      <c r="D77" s="461" t="s">
        <v>463</v>
      </c>
      <c r="E77" s="461"/>
      <c r="F77" s="437"/>
      <c r="G77" s="439" t="s">
        <v>339</v>
      </c>
      <c r="H77" s="477" t="s">
        <v>166</v>
      </c>
      <c r="I77" s="437" t="s">
        <v>2</v>
      </c>
      <c r="J77" s="477">
        <v>249300000</v>
      </c>
      <c r="K77" s="477">
        <v>249300000</v>
      </c>
      <c r="L77" s="478">
        <v>1E-3</v>
      </c>
      <c r="M77" s="477">
        <f>42881892.9</f>
        <v>42881892.899999999</v>
      </c>
      <c r="N77" s="477">
        <f>528153.5</f>
        <v>528153.5</v>
      </c>
      <c r="O77" s="448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434">
        <v>45</v>
      </c>
      <c r="B78" s="451" t="s">
        <v>107</v>
      </c>
      <c r="C78" s="443" t="s">
        <v>108</v>
      </c>
      <c r="D78" s="445" t="s">
        <v>101</v>
      </c>
      <c r="E78" s="445"/>
      <c r="F78" s="445"/>
      <c r="G78" s="444" t="s">
        <v>340</v>
      </c>
      <c r="H78" s="463" t="s">
        <v>109</v>
      </c>
      <c r="I78" s="467" t="s">
        <v>51</v>
      </c>
      <c r="J78" s="477">
        <v>4000000</v>
      </c>
      <c r="K78" s="477">
        <v>869162.07</v>
      </c>
      <c r="L78" s="476" t="s">
        <v>44</v>
      </c>
      <c r="M78" s="477">
        <f>465353.9+34986668/397.71+41212635/391.46</f>
        <v>658603.5005344206</v>
      </c>
      <c r="N78" s="477">
        <f>188098.2+7483550/397.71+8032446/391.46</f>
        <v>227433.99995345628</v>
      </c>
      <c r="O78" s="456">
        <f>K78-M78</f>
        <v>210558.56946557935</v>
      </c>
      <c r="P78" s="443" t="s">
        <v>110</v>
      </c>
      <c r="Q78" s="469" t="s">
        <v>498</v>
      </c>
      <c r="S78" s="5"/>
    </row>
    <row r="79" spans="1:19" s="4" customFormat="1" ht="27" outlineLevel="1" x14ac:dyDescent="0.25">
      <c r="A79" s="434">
        <v>46</v>
      </c>
      <c r="B79" s="460" t="s">
        <v>167</v>
      </c>
      <c r="C79" s="461" t="s">
        <v>133</v>
      </c>
      <c r="D79" s="437" t="s">
        <v>473</v>
      </c>
      <c r="E79" s="437"/>
      <c r="F79" s="437" t="s">
        <v>441</v>
      </c>
      <c r="G79" s="437" t="s">
        <v>341</v>
      </c>
      <c r="H79" s="437" t="s">
        <v>291</v>
      </c>
      <c r="I79" s="437" t="s">
        <v>2</v>
      </c>
      <c r="J79" s="60">
        <v>50600000</v>
      </c>
      <c r="K79" s="477">
        <v>50600000</v>
      </c>
      <c r="L79" s="460" t="s">
        <v>168</v>
      </c>
      <c r="M79" s="477"/>
      <c r="N79" s="477"/>
      <c r="O79" s="60">
        <f t="shared" si="4"/>
        <v>50600000</v>
      </c>
      <c r="P79" s="140" t="s">
        <v>76</v>
      </c>
      <c r="Q79" s="204" t="s">
        <v>501</v>
      </c>
      <c r="R79" s="3"/>
      <c r="S79" s="5"/>
    </row>
    <row r="80" spans="1:19" s="4" customFormat="1" ht="40.5" customHeight="1" outlineLevel="1" x14ac:dyDescent="0.25">
      <c r="A80" s="434">
        <v>47</v>
      </c>
      <c r="B80" s="460" t="s">
        <v>167</v>
      </c>
      <c r="C80" s="461" t="s">
        <v>133</v>
      </c>
      <c r="D80" s="437" t="s">
        <v>473</v>
      </c>
      <c r="E80" s="437"/>
      <c r="F80" s="437" t="s">
        <v>441</v>
      </c>
      <c r="G80" s="437" t="s">
        <v>342</v>
      </c>
      <c r="H80" s="437" t="s">
        <v>292</v>
      </c>
      <c r="I80" s="461" t="s">
        <v>2</v>
      </c>
      <c r="J80" s="60">
        <v>1100000000</v>
      </c>
      <c r="K80" s="477">
        <v>1100000000</v>
      </c>
      <c r="L80" s="460" t="s">
        <v>168</v>
      </c>
      <c r="M80" s="477"/>
      <c r="N80" s="477"/>
      <c r="O80" s="60">
        <f t="shared" si="4"/>
        <v>1100000000</v>
      </c>
      <c r="P80" s="534" t="s">
        <v>267</v>
      </c>
      <c r="Q80" s="473" t="s">
        <v>501</v>
      </c>
      <c r="R80" s="3"/>
      <c r="S80" s="5"/>
    </row>
    <row r="81" spans="1:19" s="4" customFormat="1" ht="27" outlineLevel="1" x14ac:dyDescent="0.25">
      <c r="A81" s="434">
        <v>48</v>
      </c>
      <c r="B81" s="460" t="s">
        <v>167</v>
      </c>
      <c r="C81" s="461" t="s">
        <v>133</v>
      </c>
      <c r="D81" s="437" t="s">
        <v>473</v>
      </c>
      <c r="E81" s="437"/>
      <c r="F81" s="437" t="s">
        <v>441</v>
      </c>
      <c r="G81" s="437" t="s">
        <v>343</v>
      </c>
      <c r="H81" s="437" t="s">
        <v>293</v>
      </c>
      <c r="I81" s="461" t="s">
        <v>2</v>
      </c>
      <c r="J81" s="60">
        <v>792386600</v>
      </c>
      <c r="K81" s="477">
        <v>791031693</v>
      </c>
      <c r="L81" s="460" t="s">
        <v>168</v>
      </c>
      <c r="M81" s="477"/>
      <c r="N81" s="477"/>
      <c r="O81" s="60">
        <f t="shared" si="4"/>
        <v>791031693</v>
      </c>
      <c r="P81" s="526"/>
      <c r="Q81" s="474" t="s">
        <v>501</v>
      </c>
      <c r="R81" s="3"/>
      <c r="S81" s="5"/>
    </row>
    <row r="82" spans="1:19" s="4" customFormat="1" ht="27" outlineLevel="1" x14ac:dyDescent="0.25">
      <c r="A82" s="434">
        <v>49</v>
      </c>
      <c r="B82" s="460" t="s">
        <v>167</v>
      </c>
      <c r="C82" s="461" t="s">
        <v>133</v>
      </c>
      <c r="D82" s="437" t="s">
        <v>473</v>
      </c>
      <c r="E82" s="437"/>
      <c r="F82" s="437" t="s">
        <v>441</v>
      </c>
      <c r="G82" s="437" t="s">
        <v>344</v>
      </c>
      <c r="H82" s="437" t="s">
        <v>294</v>
      </c>
      <c r="I82" s="461" t="s">
        <v>2</v>
      </c>
      <c r="J82" s="60">
        <v>254672300</v>
      </c>
      <c r="K82" s="477">
        <f>168444408+75498000+5196300+5196300</f>
        <v>254335008</v>
      </c>
      <c r="L82" s="460" t="s">
        <v>168</v>
      </c>
      <c r="M82" s="477"/>
      <c r="N82" s="477"/>
      <c r="O82" s="60">
        <f t="shared" si="4"/>
        <v>254335008</v>
      </c>
      <c r="P82" s="527"/>
      <c r="Q82" s="475" t="s">
        <v>501</v>
      </c>
      <c r="R82" s="3"/>
      <c r="S82" s="5"/>
    </row>
    <row r="83" spans="1:19" s="4" customFormat="1" ht="40.5" outlineLevel="1" x14ac:dyDescent="0.25">
      <c r="A83" s="434">
        <v>50</v>
      </c>
      <c r="B83" s="460" t="s">
        <v>169</v>
      </c>
      <c r="C83" s="461" t="s">
        <v>133</v>
      </c>
      <c r="D83" s="437" t="s">
        <v>463</v>
      </c>
      <c r="E83" s="437"/>
      <c r="F83" s="437"/>
      <c r="G83" s="437" t="s">
        <v>345</v>
      </c>
      <c r="H83" s="437" t="s">
        <v>170</v>
      </c>
      <c r="I83" s="461" t="s">
        <v>2</v>
      </c>
      <c r="J83" s="60">
        <v>88731015</v>
      </c>
      <c r="K83" s="477">
        <v>88731000</v>
      </c>
      <c r="L83" s="62">
        <v>8.5000000000000006E-2</v>
      </c>
      <c r="M83" s="477"/>
      <c r="N83" s="477">
        <v>1591081</v>
      </c>
      <c r="O83" s="60">
        <f t="shared" si="4"/>
        <v>88731000</v>
      </c>
      <c r="P83" s="142" t="s">
        <v>171</v>
      </c>
      <c r="Q83" s="321"/>
      <c r="R83" s="3"/>
      <c r="S83" s="5"/>
    </row>
    <row r="84" spans="1:19" ht="81" outlineLevel="1" x14ac:dyDescent="0.25">
      <c r="A84" s="434">
        <v>51</v>
      </c>
      <c r="B84" s="451" t="s">
        <v>175</v>
      </c>
      <c r="C84" s="443" t="s">
        <v>173</v>
      </c>
      <c r="D84" s="443" t="s">
        <v>143</v>
      </c>
      <c r="E84" s="443"/>
      <c r="F84" s="445" t="s">
        <v>441</v>
      </c>
      <c r="G84" s="461" t="s">
        <v>347</v>
      </c>
      <c r="H84" s="461" t="s">
        <v>176</v>
      </c>
      <c r="I84" s="461" t="s">
        <v>51</v>
      </c>
      <c r="J84" s="64">
        <v>8944984.0899999999</v>
      </c>
      <c r="K84" s="477">
        <v>8944984.0899999999</v>
      </c>
      <c r="L84" s="65">
        <v>7.4999999999999997E-3</v>
      </c>
      <c r="M84" s="477">
        <f>2425758.4+151609.9+151609.9+151609.9</f>
        <v>2880588.0999999996</v>
      </c>
      <c r="N84" s="477">
        <f>881276.03+25084.35+24380.12+23943.98+23373.89</f>
        <v>978058.37</v>
      </c>
      <c r="O84" s="448">
        <f t="shared" si="4"/>
        <v>6064395.9900000002</v>
      </c>
      <c r="P84" s="440" t="s">
        <v>76</v>
      </c>
      <c r="Q84" s="469"/>
      <c r="S84" s="5"/>
    </row>
    <row r="85" spans="1:19" ht="55.5" customHeight="1" outlineLevel="1" x14ac:dyDescent="0.25">
      <c r="A85" s="532">
        <v>52</v>
      </c>
      <c r="B85" s="534" t="s">
        <v>177</v>
      </c>
      <c r="C85" s="521" t="s">
        <v>173</v>
      </c>
      <c r="D85" s="521" t="s">
        <v>143</v>
      </c>
      <c r="E85" s="443"/>
      <c r="F85" s="445" t="s">
        <v>441</v>
      </c>
      <c r="G85" s="521" t="s">
        <v>348</v>
      </c>
      <c r="H85" s="461" t="s">
        <v>178</v>
      </c>
      <c r="I85" s="461" t="s">
        <v>51</v>
      </c>
      <c r="J85" s="64">
        <v>5217725</v>
      </c>
      <c r="K85" s="477">
        <v>5217725</v>
      </c>
      <c r="L85" s="65">
        <v>7.4999999999999997E-3</v>
      </c>
      <c r="M85" s="477">
        <f>782658.5+52177.25+52177.25+52177.25</f>
        <v>939190.25</v>
      </c>
      <c r="N85" s="477">
        <f>538816.19+16480.36+16284.66</f>
        <v>571581.21</v>
      </c>
      <c r="O85" s="448">
        <f t="shared" si="4"/>
        <v>4278534.75</v>
      </c>
      <c r="P85" s="521" t="s">
        <v>76</v>
      </c>
      <c r="Q85" s="469"/>
      <c r="S85" s="5"/>
    </row>
    <row r="86" spans="1:19" ht="55.5" customHeight="1" outlineLevel="1" x14ac:dyDescent="0.25">
      <c r="A86" s="533"/>
      <c r="B86" s="527"/>
      <c r="C86" s="528"/>
      <c r="D86" s="528"/>
      <c r="E86" s="453"/>
      <c r="F86" s="445" t="s">
        <v>441</v>
      </c>
      <c r="G86" s="528"/>
      <c r="H86" s="461" t="s">
        <v>178</v>
      </c>
      <c r="I86" s="461" t="s">
        <v>2</v>
      </c>
      <c r="J86" s="64">
        <v>93025000</v>
      </c>
      <c r="K86" s="477">
        <v>93025000</v>
      </c>
      <c r="L86" s="65">
        <v>7.4999999999999997E-3</v>
      </c>
      <c r="M86" s="477">
        <f>13953750+930250+930250+930250</f>
        <v>16744500</v>
      </c>
      <c r="N86" s="477">
        <f>9237334.28+296030+287830</f>
        <v>9821194.2799999993</v>
      </c>
      <c r="O86" s="448">
        <f t="shared" si="4"/>
        <v>76280500</v>
      </c>
      <c r="P86" s="528"/>
      <c r="Q86" s="471"/>
      <c r="S86" s="5"/>
    </row>
    <row r="87" spans="1:19" ht="81" outlineLevel="1" x14ac:dyDescent="0.25">
      <c r="A87" s="434">
        <v>53</v>
      </c>
      <c r="B87" s="451" t="s">
        <v>179</v>
      </c>
      <c r="C87" s="443" t="s">
        <v>173</v>
      </c>
      <c r="D87" s="443" t="s">
        <v>143</v>
      </c>
      <c r="E87" s="443"/>
      <c r="F87" s="445" t="s">
        <v>441</v>
      </c>
      <c r="G87" s="461" t="s">
        <v>349</v>
      </c>
      <c r="H87" s="461" t="s">
        <v>180</v>
      </c>
      <c r="I87" s="461" t="s">
        <v>51</v>
      </c>
      <c r="J87" s="64">
        <v>1989000</v>
      </c>
      <c r="K87" s="477">
        <v>1989000</v>
      </c>
      <c r="L87" s="65">
        <v>7.4999999999999997E-3</v>
      </c>
      <c r="M87" s="477">
        <f>337118.7+33711.86+33711.86+33711.86</f>
        <v>438254.27999999997</v>
      </c>
      <c r="N87" s="477">
        <f>177150.18+6084.76+5957.99</f>
        <v>189192.93</v>
      </c>
      <c r="O87" s="448">
        <f t="shared" si="4"/>
        <v>1550745.72</v>
      </c>
      <c r="P87" s="440" t="s">
        <v>76</v>
      </c>
      <c r="Q87" s="469"/>
      <c r="S87" s="5"/>
    </row>
    <row r="88" spans="1:19" ht="94.5" outlineLevel="1" x14ac:dyDescent="0.25">
      <c r="A88" s="434">
        <v>54</v>
      </c>
      <c r="B88" s="451" t="s">
        <v>295</v>
      </c>
      <c r="C88" s="443" t="s">
        <v>296</v>
      </c>
      <c r="D88" s="443" t="s">
        <v>143</v>
      </c>
      <c r="E88" s="443"/>
      <c r="F88" s="445" t="s">
        <v>441</v>
      </c>
      <c r="G88" s="443" t="s">
        <v>350</v>
      </c>
      <c r="H88" s="443" t="s">
        <v>297</v>
      </c>
      <c r="I88" s="461" t="s">
        <v>2</v>
      </c>
      <c r="J88" s="64">
        <v>2047212646</v>
      </c>
      <c r="K88" s="463">
        <v>2047212646</v>
      </c>
      <c r="L88" s="65">
        <v>0.02</v>
      </c>
      <c r="M88" s="477">
        <v>0</v>
      </c>
      <c r="N88" s="477">
        <f>88017538.4+20640391+20640391+20303862+20640391</f>
        <v>170242573.40000001</v>
      </c>
      <c r="O88" s="448">
        <f t="shared" si="4"/>
        <v>2047212646</v>
      </c>
      <c r="P88" s="440" t="s">
        <v>76</v>
      </c>
      <c r="Q88" s="469"/>
      <c r="S88" s="5"/>
    </row>
    <row r="89" spans="1:19" ht="144" customHeight="1" outlineLevel="1" x14ac:dyDescent="0.25">
      <c r="A89" s="442">
        <v>55</v>
      </c>
      <c r="B89" s="451" t="s">
        <v>181</v>
      </c>
      <c r="C89" s="443" t="s">
        <v>182</v>
      </c>
      <c r="D89" s="443" t="s">
        <v>93</v>
      </c>
      <c r="E89" s="443"/>
      <c r="F89" s="443" t="s">
        <v>441</v>
      </c>
      <c r="G89" s="443" t="s">
        <v>492</v>
      </c>
      <c r="H89" s="443" t="s">
        <v>183</v>
      </c>
      <c r="I89" s="461" t="s">
        <v>51</v>
      </c>
      <c r="J89" s="64">
        <v>2217000</v>
      </c>
      <c r="K89" s="64">
        <v>2217000</v>
      </c>
      <c r="L89" s="66">
        <v>0.02</v>
      </c>
      <c r="M89" s="477">
        <f>1656550.78+18166.04+7000680/387.28+18122.86+18122.86+32122.86+28837.1+8000+8000+8000+20000+20000+20000+20000+20000</f>
        <v>1913999.0337740141</v>
      </c>
      <c r="N89" s="477">
        <f>133182.536922389+1443.51</f>
        <v>134626.04692238901</v>
      </c>
      <c r="O89" s="448">
        <f t="shared" si="4"/>
        <v>303000.9662259859</v>
      </c>
      <c r="P89" s="440" t="s">
        <v>184</v>
      </c>
      <c r="Q89" s="469" t="s">
        <v>498</v>
      </c>
      <c r="S89" s="5"/>
    </row>
    <row r="90" spans="1:19" ht="128.25" customHeight="1" outlineLevel="1" x14ac:dyDescent="0.25">
      <c r="A90" s="434">
        <v>56</v>
      </c>
      <c r="B90" s="460" t="s">
        <v>284</v>
      </c>
      <c r="C90" s="461" t="s">
        <v>285</v>
      </c>
      <c r="D90" s="461" t="s">
        <v>118</v>
      </c>
      <c r="E90" s="461"/>
      <c r="F90" s="437" t="s">
        <v>497</v>
      </c>
      <c r="G90" s="461" t="s">
        <v>352</v>
      </c>
      <c r="H90" s="443" t="s">
        <v>287</v>
      </c>
      <c r="I90" s="461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77"/>
      <c r="N90" s="67">
        <f>77849.88+103888.1+413918.01+520635</f>
        <v>1116290.99</v>
      </c>
      <c r="O90" s="448">
        <f t="shared" si="4"/>
        <v>20000000</v>
      </c>
      <c r="P90" s="440" t="s">
        <v>289</v>
      </c>
      <c r="Q90" s="469" t="s">
        <v>498</v>
      </c>
      <c r="S90" s="5"/>
    </row>
    <row r="91" spans="1:19" s="4" customFormat="1" ht="38.25" customHeight="1" outlineLevel="1" x14ac:dyDescent="0.25">
      <c r="A91" s="532">
        <v>57</v>
      </c>
      <c r="B91" s="534" t="s">
        <v>185</v>
      </c>
      <c r="C91" s="521" t="s">
        <v>186</v>
      </c>
      <c r="D91" s="521"/>
      <c r="E91" s="453"/>
      <c r="F91" s="454"/>
      <c r="G91" s="531" t="s">
        <v>353</v>
      </c>
      <c r="H91" s="531" t="s">
        <v>187</v>
      </c>
      <c r="I91" s="467" t="s">
        <v>51</v>
      </c>
      <c r="J91" s="60">
        <v>237758.39</v>
      </c>
      <c r="K91" s="477">
        <v>237758.39</v>
      </c>
      <c r="L91" s="478"/>
      <c r="M91" s="477"/>
      <c r="N91" s="477"/>
      <c r="O91" s="60">
        <f t="shared" si="4"/>
        <v>237758.39</v>
      </c>
      <c r="P91" s="521" t="s">
        <v>76</v>
      </c>
      <c r="Q91" s="469"/>
      <c r="R91" s="3"/>
      <c r="S91" s="5"/>
    </row>
    <row r="92" spans="1:19" s="4" customFormat="1" ht="45" customHeight="1" outlineLevel="1" x14ac:dyDescent="0.25">
      <c r="A92" s="533"/>
      <c r="B92" s="527"/>
      <c r="C92" s="528"/>
      <c r="D92" s="528"/>
      <c r="E92" s="435"/>
      <c r="F92" s="435"/>
      <c r="G92" s="530"/>
      <c r="H92" s="530"/>
      <c r="I92" s="47" t="s">
        <v>2</v>
      </c>
      <c r="J92" s="68">
        <v>28883700</v>
      </c>
      <c r="K92" s="477">
        <v>28883700</v>
      </c>
      <c r="L92" s="465"/>
      <c r="M92" s="477"/>
      <c r="N92" s="477"/>
      <c r="O92" s="60">
        <f t="shared" si="4"/>
        <v>28883700</v>
      </c>
      <c r="P92" s="528"/>
      <c r="Q92" s="470"/>
      <c r="R92" s="3"/>
      <c r="S92" s="5"/>
    </row>
    <row r="93" spans="1:19" s="2" customFormat="1" ht="59.25" customHeight="1" outlineLevel="1" x14ac:dyDescent="0.25">
      <c r="A93" s="442">
        <v>58</v>
      </c>
      <c r="B93" s="451" t="s">
        <v>111</v>
      </c>
      <c r="C93" s="443" t="s">
        <v>112</v>
      </c>
      <c r="D93" s="461" t="s">
        <v>463</v>
      </c>
      <c r="E93" s="461"/>
      <c r="F93" s="437"/>
      <c r="G93" s="461" t="s">
        <v>354</v>
      </c>
      <c r="H93" s="461" t="s">
        <v>114</v>
      </c>
      <c r="I93" s="461" t="s">
        <v>2</v>
      </c>
      <c r="J93" s="477">
        <v>303444194</v>
      </c>
      <c r="K93" s="463">
        <v>303444194</v>
      </c>
      <c r="L93" s="465"/>
      <c r="M93" s="463"/>
      <c r="N93" s="463"/>
      <c r="O93" s="456">
        <f t="shared" si="4"/>
        <v>303444194</v>
      </c>
      <c r="P93" s="440" t="s">
        <v>76</v>
      </c>
      <c r="Q93" s="469"/>
      <c r="R93" s="1"/>
      <c r="S93" s="5"/>
    </row>
    <row r="94" spans="1:19" s="5" customFormat="1" ht="54.75" customHeight="1" outlineLevel="1" x14ac:dyDescent="0.25">
      <c r="A94" s="442"/>
      <c r="B94" s="451" t="s">
        <v>535</v>
      </c>
      <c r="C94" s="443" t="s">
        <v>112</v>
      </c>
      <c r="D94" s="461" t="s">
        <v>463</v>
      </c>
      <c r="E94" s="461"/>
      <c r="F94" s="437"/>
      <c r="G94" s="461" t="s">
        <v>536</v>
      </c>
      <c r="H94" s="461" t="s">
        <v>537</v>
      </c>
      <c r="I94" s="467" t="s">
        <v>2</v>
      </c>
      <c r="J94" s="477">
        <v>29938264</v>
      </c>
      <c r="K94" s="477">
        <v>29938264</v>
      </c>
      <c r="L94" s="446"/>
      <c r="M94" s="477">
        <v>9000000</v>
      </c>
      <c r="N94" s="477"/>
      <c r="O94" s="456">
        <f t="shared" si="4"/>
        <v>20938264</v>
      </c>
      <c r="P94" s="440" t="s">
        <v>76</v>
      </c>
      <c r="Q94" s="470"/>
      <c r="R94" s="8"/>
    </row>
    <row r="95" spans="1:19" ht="51" customHeight="1" x14ac:dyDescent="0.25">
      <c r="A95" s="434">
        <v>59</v>
      </c>
      <c r="B95" s="460" t="s">
        <v>440</v>
      </c>
      <c r="C95" s="461" t="s">
        <v>441</v>
      </c>
      <c r="D95" s="461" t="s">
        <v>463</v>
      </c>
      <c r="E95" s="461"/>
      <c r="F95" s="461" t="s">
        <v>441</v>
      </c>
      <c r="G95" s="461" t="s">
        <v>442</v>
      </c>
      <c r="H95" s="461" t="s">
        <v>443</v>
      </c>
      <c r="I95" s="461" t="s">
        <v>2</v>
      </c>
      <c r="J95" s="477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461" t="s">
        <v>444</v>
      </c>
      <c r="Q95" s="204"/>
      <c r="S95" s="5"/>
    </row>
    <row r="96" spans="1:19" ht="155.25" customHeight="1" x14ac:dyDescent="0.25">
      <c r="A96" s="433">
        <v>60</v>
      </c>
      <c r="B96" s="452" t="s">
        <v>481</v>
      </c>
      <c r="C96" s="461" t="s">
        <v>441</v>
      </c>
      <c r="D96" s="461" t="s">
        <v>463</v>
      </c>
      <c r="E96" s="435"/>
      <c r="F96" s="436" t="s">
        <v>441</v>
      </c>
      <c r="G96" s="435"/>
      <c r="H96" s="461" t="s">
        <v>482</v>
      </c>
      <c r="I96" s="461" t="s">
        <v>2</v>
      </c>
      <c r="J96" s="464">
        <v>3500000000</v>
      </c>
      <c r="K96" s="464">
        <v>3500000000</v>
      </c>
      <c r="L96" s="62">
        <v>0.08</v>
      </c>
      <c r="M96" s="192"/>
      <c r="N96" s="192"/>
      <c r="O96" s="60">
        <f t="shared" si="4"/>
        <v>3500000000</v>
      </c>
      <c r="P96" s="441" t="s">
        <v>483</v>
      </c>
      <c r="Q96" s="470" t="s">
        <v>498</v>
      </c>
      <c r="S96" s="5"/>
    </row>
    <row r="97" spans="1:19" s="2" customFormat="1" ht="47.25" customHeight="1" outlineLevel="1" x14ac:dyDescent="0.25">
      <c r="A97" s="433">
        <v>61</v>
      </c>
      <c r="B97" s="435" t="s">
        <v>484</v>
      </c>
      <c r="C97" s="435" t="s">
        <v>441</v>
      </c>
      <c r="D97" s="435" t="s">
        <v>463</v>
      </c>
      <c r="E97" s="435"/>
      <c r="F97" s="436" t="s">
        <v>441</v>
      </c>
      <c r="G97" s="99" t="s">
        <v>447</v>
      </c>
      <c r="H97" s="435" t="s">
        <v>263</v>
      </c>
      <c r="I97" s="435" t="s">
        <v>2</v>
      </c>
      <c r="J97" s="464">
        <v>2000000000</v>
      </c>
      <c r="K97" s="464">
        <v>2000000000</v>
      </c>
      <c r="L97" s="447">
        <v>1E-4</v>
      </c>
      <c r="M97" s="464">
        <v>122220000</v>
      </c>
      <c r="N97" s="464">
        <v>175890.4109589041</v>
      </c>
      <c r="O97" s="458">
        <f t="shared" si="4"/>
        <v>1877780000</v>
      </c>
      <c r="P97" s="441" t="s">
        <v>448</v>
      </c>
      <c r="Q97" s="470" t="s">
        <v>498</v>
      </c>
      <c r="R97" s="1"/>
      <c r="S97" s="5"/>
    </row>
    <row r="98" spans="1:19" s="2" customFormat="1" ht="47.25" customHeight="1" outlineLevel="1" x14ac:dyDescent="0.25">
      <c r="A98" s="433">
        <v>62</v>
      </c>
      <c r="B98" s="435" t="s">
        <v>188</v>
      </c>
      <c r="C98" s="435" t="s">
        <v>189</v>
      </c>
      <c r="D98" s="435" t="s">
        <v>485</v>
      </c>
      <c r="E98" s="435"/>
      <c r="F98" s="436" t="s">
        <v>441</v>
      </c>
      <c r="G98" s="99" t="s">
        <v>355</v>
      </c>
      <c r="H98" s="435" t="s">
        <v>191</v>
      </c>
      <c r="I98" s="435" t="s">
        <v>51</v>
      </c>
      <c r="J98" s="464">
        <v>10000000</v>
      </c>
      <c r="K98" s="464">
        <v>10000000</v>
      </c>
      <c r="L98" s="447" t="s">
        <v>192</v>
      </c>
      <c r="M98" s="464">
        <v>2553676.86</v>
      </c>
      <c r="N98" s="464">
        <f>3533579.15874841+18816925/512.41+16022937.4/426.85+37537.63+37130+36723+37538+'[2]15,08,20 գործող'!$I$55+'[2]15,08,20 գործող'!$I$56+121220+150151+150151</f>
        <v>4253365.4704706864</v>
      </c>
      <c r="O98" s="458">
        <f>K98-M98</f>
        <v>7446323.1400000006</v>
      </c>
      <c r="P98" s="441" t="s">
        <v>193</v>
      </c>
      <c r="Q98" s="470" t="s">
        <v>498</v>
      </c>
      <c r="R98" s="1"/>
      <c r="S98" s="5"/>
    </row>
    <row r="99" spans="1:19" s="2" customFormat="1" ht="51" customHeight="1" outlineLevel="1" thickBot="1" x14ac:dyDescent="0.3">
      <c r="A99" s="434">
        <v>63</v>
      </c>
      <c r="B99" s="461" t="s">
        <v>188</v>
      </c>
      <c r="C99" s="194" t="s">
        <v>502</v>
      </c>
      <c r="D99" s="194" t="s">
        <v>485</v>
      </c>
      <c r="E99" s="194"/>
      <c r="F99" s="74" t="s">
        <v>441</v>
      </c>
      <c r="G99" s="310" t="s">
        <v>356</v>
      </c>
      <c r="H99" s="194" t="s">
        <v>194</v>
      </c>
      <c r="I99" s="194" t="s">
        <v>2</v>
      </c>
      <c r="J99" s="477">
        <v>8000000000</v>
      </c>
      <c r="K99" s="477">
        <v>8000000000</v>
      </c>
      <c r="L99" s="476" t="s">
        <v>195</v>
      </c>
      <c r="M99" s="477"/>
      <c r="N99" s="477">
        <f>3496438357+79342466+80657534+79342466+79342466+1315069+216021918+419419179</f>
        <v>4451879455</v>
      </c>
      <c r="O99" s="448">
        <f>K99-M99</f>
        <v>8000000000</v>
      </c>
      <c r="P99" s="140" t="s">
        <v>196</v>
      </c>
      <c r="Q99" s="204" t="s">
        <v>498</v>
      </c>
      <c r="R99" s="1"/>
      <c r="S99" s="5"/>
    </row>
    <row r="100" spans="1:19" s="9" customFormat="1" ht="24.75" customHeight="1" x14ac:dyDescent="0.25">
      <c r="A100" s="591" t="s">
        <v>197</v>
      </c>
      <c r="B100" s="592"/>
      <c r="C100" s="593"/>
      <c r="D100" s="621"/>
      <c r="E100" s="621"/>
      <c r="F100" s="53"/>
      <c r="G100" s="53"/>
      <c r="H100" s="53"/>
      <c r="I100" s="53" t="s">
        <v>29</v>
      </c>
      <c r="J100" s="13">
        <f>SUMIF($I$72:$I$99,I100,$J$72:$J$99)</f>
        <v>41500000</v>
      </c>
      <c r="K100" s="13">
        <f>SUMIF($I$72:$I$99,I100,$K$72:$K$99)</f>
        <v>22772189.77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22739465.948296245</v>
      </c>
      <c r="P100" s="147"/>
      <c r="Q100" s="325"/>
      <c r="R100" s="8"/>
      <c r="S100" s="5"/>
    </row>
    <row r="101" spans="1:19" s="9" customFormat="1" ht="39" customHeight="1" x14ac:dyDescent="0.25">
      <c r="A101" s="585"/>
      <c r="B101" s="586"/>
      <c r="C101" s="587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224179726.90000001</v>
      </c>
      <c r="N101" s="11">
        <f>SUMIF($I$72:$I$99,I101,$N$72:$N$99)</f>
        <v>4656794511.5909586</v>
      </c>
      <c r="O101" s="11">
        <f>SUMIF($I$72:$I$99,I101,$O$72:$O$99)</f>
        <v>20133705361.099998</v>
      </c>
      <c r="P101" s="148"/>
      <c r="Q101" s="318"/>
      <c r="R101" s="8"/>
      <c r="S101" s="5"/>
    </row>
    <row r="102" spans="1:19" s="9" customFormat="1" ht="39" customHeight="1" x14ac:dyDescent="0.25">
      <c r="A102" s="585"/>
      <c r="B102" s="586"/>
      <c r="C102" s="587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9605918.7506632656</v>
      </c>
      <c r="N102" s="11">
        <f>SUMIF($I$72:$I$99,I102,$N$72:$N$99)</f>
        <v>6541788.0273465319</v>
      </c>
      <c r="O102" s="11">
        <f>SUMIF($I$72:$I$99,I102,$O$72:$O$99)</f>
        <v>20231042.799336735</v>
      </c>
      <c r="P102" s="148"/>
      <c r="Q102" s="318"/>
      <c r="R102" s="8"/>
      <c r="S102" s="5"/>
    </row>
    <row r="103" spans="1:19" s="9" customFormat="1" ht="39" customHeight="1" thickBot="1" x14ac:dyDescent="0.3">
      <c r="A103" s="588"/>
      <c r="B103" s="589"/>
      <c r="C103" s="590"/>
      <c r="D103" s="306"/>
      <c r="E103" s="306"/>
      <c r="F103" s="57"/>
      <c r="G103" s="57"/>
      <c r="H103" s="57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320"/>
      <c r="R103" s="8"/>
      <c r="S103" s="5"/>
    </row>
    <row r="104" spans="1:19" s="4" customFormat="1" ht="156.75" customHeight="1" outlineLevel="1" x14ac:dyDescent="0.25">
      <c r="A104" s="433">
        <v>64</v>
      </c>
      <c r="B104" s="453" t="s">
        <v>0</v>
      </c>
      <c r="C104" s="453" t="s">
        <v>1</v>
      </c>
      <c r="D104" s="453" t="s">
        <v>463</v>
      </c>
      <c r="E104" s="453"/>
      <c r="F104" s="454"/>
      <c r="G104" s="454" t="s">
        <v>357</v>
      </c>
      <c r="H104" s="454" t="s">
        <v>198</v>
      </c>
      <c r="I104" s="435" t="s">
        <v>2</v>
      </c>
      <c r="J104" s="79">
        <f>3047000000+3000000000</f>
        <v>6047000000</v>
      </c>
      <c r="K104" s="192">
        <v>6000000000</v>
      </c>
      <c r="L104" s="465"/>
      <c r="M104" s="40">
        <f>4439902959+260956717.5+995441267.7+73262192.2+103703140+88648827.6+23704487.9+9999937.1</f>
        <v>5995619529</v>
      </c>
      <c r="N104" s="40"/>
      <c r="O104" s="463">
        <f t="shared" ref="O104:O109" si="5">K104-M104</f>
        <v>4380471</v>
      </c>
      <c r="P104" s="146" t="s">
        <v>76</v>
      </c>
      <c r="Q104" s="474"/>
      <c r="R104" s="3"/>
      <c r="S104" s="5"/>
    </row>
    <row r="105" spans="1:19" s="4" customFormat="1" ht="147" customHeight="1" outlineLevel="1" x14ac:dyDescent="0.25">
      <c r="A105" s="434">
        <v>65</v>
      </c>
      <c r="B105" s="443" t="s">
        <v>0</v>
      </c>
      <c r="C105" s="521" t="s">
        <v>7</v>
      </c>
      <c r="D105" s="443" t="s">
        <v>463</v>
      </c>
      <c r="E105" s="443"/>
      <c r="F105" s="445"/>
      <c r="G105" s="445" t="s">
        <v>488</v>
      </c>
      <c r="H105" s="445" t="s">
        <v>9</v>
      </c>
      <c r="I105" s="461" t="s">
        <v>2</v>
      </c>
      <c r="J105" s="477">
        <v>2000000000</v>
      </c>
      <c r="K105" s="40">
        <v>2000000000</v>
      </c>
      <c r="L105" s="478">
        <v>2.7E-2</v>
      </c>
      <c r="M105" s="40"/>
      <c r="N105" s="448">
        <f>68417269.8+13462993.2+49643.9+1421840.5+38566246.5+491534.9+1119195.4+178355+29883.2+10588.6+3022.3</f>
        <v>123750573.30000001</v>
      </c>
      <c r="O105" s="448">
        <f t="shared" si="5"/>
        <v>2000000000</v>
      </c>
      <c r="P105" s="146" t="s">
        <v>76</v>
      </c>
      <c r="Q105" s="473"/>
      <c r="R105" s="3"/>
      <c r="S105" s="5"/>
    </row>
    <row r="106" spans="1:19" s="4" customFormat="1" ht="144.75" customHeight="1" outlineLevel="1" x14ac:dyDescent="0.25">
      <c r="A106" s="434">
        <v>66</v>
      </c>
      <c r="B106" s="443" t="s">
        <v>0</v>
      </c>
      <c r="C106" s="522"/>
      <c r="D106" s="449" t="s">
        <v>463</v>
      </c>
      <c r="E106" s="459"/>
      <c r="F106" s="445"/>
      <c r="G106" s="445" t="s">
        <v>489</v>
      </c>
      <c r="H106" s="445" t="s">
        <v>11</v>
      </c>
      <c r="I106" s="435" t="s">
        <v>2</v>
      </c>
      <c r="J106" s="477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448">
        <f t="shared" si="5"/>
        <v>2000000000</v>
      </c>
      <c r="P106" s="146" t="s">
        <v>76</v>
      </c>
      <c r="Q106" s="473"/>
      <c r="R106" s="3"/>
      <c r="S106" s="5"/>
    </row>
    <row r="107" spans="1:19" s="4" customFormat="1" ht="168" customHeight="1" outlineLevel="1" x14ac:dyDescent="0.25">
      <c r="A107" s="434">
        <v>67</v>
      </c>
      <c r="B107" s="311" t="s">
        <v>0</v>
      </c>
      <c r="C107" s="528"/>
      <c r="D107" s="441"/>
      <c r="E107" s="441"/>
      <c r="F107" s="312"/>
      <c r="G107" s="437" t="s">
        <v>490</v>
      </c>
      <c r="H107" s="437" t="s">
        <v>199</v>
      </c>
      <c r="I107" s="435" t="s">
        <v>2</v>
      </c>
      <c r="J107" s="477">
        <v>5000000000</v>
      </c>
      <c r="K107" s="40">
        <v>5000000000</v>
      </c>
      <c r="L107" s="478">
        <v>2.7E-2</v>
      </c>
      <c r="M107" s="40"/>
      <c r="N107" s="40">
        <f>34209157.5+76580313.4+83507353.3+1840160.7</f>
        <v>196136984.89999998</v>
      </c>
      <c r="O107" s="448">
        <f t="shared" si="5"/>
        <v>5000000000</v>
      </c>
      <c r="P107" s="142" t="s">
        <v>76</v>
      </c>
      <c r="Q107" s="321"/>
      <c r="R107" s="3"/>
      <c r="S107" s="5"/>
    </row>
    <row r="108" spans="1:19" s="4" customFormat="1" ht="162" outlineLevel="1" x14ac:dyDescent="0.25">
      <c r="A108" s="433">
        <v>68</v>
      </c>
      <c r="B108" s="453" t="s">
        <v>3</v>
      </c>
      <c r="C108" s="453" t="s">
        <v>5</v>
      </c>
      <c r="D108" s="453" t="s">
        <v>463</v>
      </c>
      <c r="E108" s="453"/>
      <c r="F108" s="454"/>
      <c r="G108" s="454" t="s">
        <v>358</v>
      </c>
      <c r="H108" s="454" t="s">
        <v>6</v>
      </c>
      <c r="I108" s="435" t="s">
        <v>2</v>
      </c>
      <c r="J108" s="464">
        <v>562500000</v>
      </c>
      <c r="K108" s="192">
        <v>562500000</v>
      </c>
      <c r="L108" s="70"/>
      <c r="M108" s="192"/>
      <c r="N108" s="192"/>
      <c r="O108" s="457">
        <f t="shared" si="5"/>
        <v>562500000</v>
      </c>
      <c r="P108" s="151" t="s">
        <v>76</v>
      </c>
      <c r="Q108" s="474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463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</f>
        <v>8825720319.5000076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198574680.49999237</v>
      </c>
      <c r="P109" s="195" t="s">
        <v>76</v>
      </c>
      <c r="Q109" s="324"/>
      <c r="R109" s="3"/>
      <c r="S109" s="5"/>
    </row>
    <row r="110" spans="1:19" s="9" customFormat="1" ht="30" customHeight="1" x14ac:dyDescent="0.25">
      <c r="A110" s="591" t="s">
        <v>200</v>
      </c>
      <c r="B110" s="592"/>
      <c r="C110" s="593"/>
      <c r="D110" s="309"/>
      <c r="E110" s="309"/>
      <c r="F110" s="80"/>
      <c r="G110" s="80"/>
      <c r="H110" s="80"/>
      <c r="I110" s="313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325"/>
      <c r="R110" s="3"/>
      <c r="S110" s="5"/>
    </row>
    <row r="111" spans="1:19" s="9" customFormat="1" ht="27" customHeight="1" x14ac:dyDescent="0.25">
      <c r="A111" s="585"/>
      <c r="B111" s="586"/>
      <c r="C111" s="587"/>
      <c r="D111" s="41"/>
      <c r="E111" s="41"/>
      <c r="F111" s="54"/>
      <c r="G111" s="54"/>
      <c r="H111" s="54"/>
      <c r="I111" s="314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14821339848.500008</v>
      </c>
      <c r="N111" s="11">
        <f>SUMIF($I$104:$I$109,I111,$N$104:$N$109)</f>
        <v>639983383.70000005</v>
      </c>
      <c r="O111" s="11">
        <f>SUMIF($I$104:$I$109,I111,$O$104:$O$109)</f>
        <v>9765455151.4999924</v>
      </c>
      <c r="P111" s="148"/>
      <c r="Q111" s="318"/>
      <c r="R111" s="3"/>
      <c r="S111" s="5"/>
    </row>
    <row r="112" spans="1:19" s="9" customFormat="1" ht="28.5" customHeight="1" x14ac:dyDescent="0.25">
      <c r="A112" s="585"/>
      <c r="B112" s="586"/>
      <c r="C112" s="587"/>
      <c r="D112" s="41"/>
      <c r="E112" s="41"/>
      <c r="F112" s="54"/>
      <c r="G112" s="54"/>
      <c r="H112" s="54"/>
      <c r="I112" s="314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318"/>
      <c r="R112" s="8"/>
      <c r="S112" s="5"/>
    </row>
    <row r="113" spans="1:19" s="9" customFormat="1" ht="30" customHeight="1" thickBot="1" x14ac:dyDescent="0.3">
      <c r="A113" s="588"/>
      <c r="B113" s="589"/>
      <c r="C113" s="590"/>
      <c r="D113" s="306"/>
      <c r="E113" s="306"/>
      <c r="F113" s="57"/>
      <c r="G113" s="57"/>
      <c r="H113" s="57"/>
      <c r="I113" s="304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320"/>
      <c r="R113" s="8"/>
      <c r="S113" s="5"/>
    </row>
    <row r="114" spans="1:19" s="4" customFormat="1" ht="121.5" outlineLevel="1" x14ac:dyDescent="0.25">
      <c r="A114" s="433">
        <v>70</v>
      </c>
      <c r="B114" s="466" t="s">
        <v>201</v>
      </c>
      <c r="C114" s="466" t="s">
        <v>202</v>
      </c>
      <c r="D114" s="453" t="s">
        <v>463</v>
      </c>
      <c r="E114" s="453"/>
      <c r="F114" s="453" t="s">
        <v>441</v>
      </c>
      <c r="G114" s="454" t="s">
        <v>359</v>
      </c>
      <c r="H114" s="454" t="s">
        <v>203</v>
      </c>
      <c r="I114" s="461" t="s">
        <v>2</v>
      </c>
      <c r="J114" s="79">
        <v>574491741</v>
      </c>
      <c r="K114" s="79">
        <v>574491741</v>
      </c>
      <c r="L114" s="455">
        <v>1E-4</v>
      </c>
      <c r="M114" s="79">
        <f>132575017.2</f>
        <v>132575017.2</v>
      </c>
      <c r="N114" s="79">
        <f>85623+14165+39966.7</f>
        <v>139754.70000000001</v>
      </c>
      <c r="O114" s="457">
        <f t="shared" ref="O114:O126" si="6">K114-M114</f>
        <v>441916723.80000001</v>
      </c>
      <c r="P114" s="151" t="s">
        <v>204</v>
      </c>
      <c r="Q114" s="474"/>
      <c r="R114" s="3"/>
      <c r="S114" s="5"/>
    </row>
    <row r="115" spans="1:19" s="4" customFormat="1" ht="81" outlineLevel="1" x14ac:dyDescent="0.25">
      <c r="A115" s="434">
        <v>71</v>
      </c>
      <c r="B115" s="451" t="s">
        <v>205</v>
      </c>
      <c r="C115" s="451" t="s">
        <v>202</v>
      </c>
      <c r="D115" s="443" t="s">
        <v>463</v>
      </c>
      <c r="E115" s="443"/>
      <c r="F115" s="443" t="s">
        <v>441</v>
      </c>
      <c r="G115" s="445" t="s">
        <v>360</v>
      </c>
      <c r="H115" s="445" t="s">
        <v>206</v>
      </c>
      <c r="I115" s="461" t="s">
        <v>2</v>
      </c>
      <c r="J115" s="68">
        <v>98612371</v>
      </c>
      <c r="K115" s="60">
        <v>98612371</v>
      </c>
      <c r="L115" s="446">
        <v>1E-4</v>
      </c>
      <c r="M115" s="60"/>
      <c r="N115" s="60">
        <v>17060</v>
      </c>
      <c r="O115" s="456">
        <f t="shared" si="6"/>
        <v>98612371</v>
      </c>
      <c r="P115" s="146" t="s">
        <v>207</v>
      </c>
      <c r="Q115" s="473"/>
      <c r="R115" s="3"/>
      <c r="S115" s="5"/>
    </row>
    <row r="116" spans="1:19" s="4" customFormat="1" ht="81" outlineLevel="1" x14ac:dyDescent="0.25">
      <c r="A116" s="434">
        <v>72</v>
      </c>
      <c r="B116" s="451" t="s">
        <v>208</v>
      </c>
      <c r="C116" s="451" t="s">
        <v>202</v>
      </c>
      <c r="D116" s="443" t="s">
        <v>463</v>
      </c>
      <c r="E116" s="443"/>
      <c r="F116" s="443" t="s">
        <v>441</v>
      </c>
      <c r="G116" s="445" t="s">
        <v>361</v>
      </c>
      <c r="H116" s="445" t="s">
        <v>209</v>
      </c>
      <c r="I116" s="461" t="s">
        <v>2</v>
      </c>
      <c r="J116" s="68">
        <v>60132468</v>
      </c>
      <c r="K116" s="60">
        <v>60132468</v>
      </c>
      <c r="L116" s="446">
        <v>1E-4</v>
      </c>
      <c r="M116" s="60">
        <f>4625574.5+4625574.5+4625574.5+4625574.5+4625575+4625575+4625575+4625575+4625575+4625575</f>
        <v>46255748</v>
      </c>
      <c r="N116" s="60">
        <f>10367+1511.2+1400+1500+1500+1000+20000+1000</f>
        <v>38278.199999999997</v>
      </c>
      <c r="O116" s="456">
        <f t="shared" si="6"/>
        <v>13876720</v>
      </c>
      <c r="P116" s="146" t="s">
        <v>210</v>
      </c>
      <c r="Q116" s="473"/>
      <c r="R116" s="15"/>
      <c r="S116" s="5"/>
    </row>
    <row r="117" spans="1:19" s="4" customFormat="1" ht="81" outlineLevel="1" x14ac:dyDescent="0.25">
      <c r="A117" s="434">
        <v>73</v>
      </c>
      <c r="B117" s="451" t="s">
        <v>211</v>
      </c>
      <c r="C117" s="451" t="s">
        <v>202</v>
      </c>
      <c r="D117" s="443" t="s">
        <v>463</v>
      </c>
      <c r="E117" s="443"/>
      <c r="F117" s="443" t="s">
        <v>441</v>
      </c>
      <c r="G117" s="445" t="s">
        <v>362</v>
      </c>
      <c r="H117" s="445" t="s">
        <v>212</v>
      </c>
      <c r="I117" s="461" t="s">
        <v>2</v>
      </c>
      <c r="J117" s="477">
        <f>9500000+12453199</f>
        <v>21953199</v>
      </c>
      <c r="K117" s="60">
        <f>9500000+12453199</f>
        <v>21953199</v>
      </c>
      <c r="L117" s="446">
        <v>1E-4</v>
      </c>
      <c r="M117" s="60"/>
      <c r="N117" s="60">
        <v>3720</v>
      </c>
      <c r="O117" s="456">
        <f t="shared" si="6"/>
        <v>21953199</v>
      </c>
      <c r="P117" s="146" t="s">
        <v>213</v>
      </c>
      <c r="Q117" s="473"/>
      <c r="R117" s="15"/>
      <c r="S117" s="5"/>
    </row>
    <row r="118" spans="1:19" s="4" customFormat="1" ht="129.75" customHeight="1" outlineLevel="1" x14ac:dyDescent="0.25">
      <c r="A118" s="434">
        <v>74</v>
      </c>
      <c r="B118" s="451" t="s">
        <v>214</v>
      </c>
      <c r="C118" s="451" t="s">
        <v>202</v>
      </c>
      <c r="D118" s="443" t="s">
        <v>463</v>
      </c>
      <c r="E118" s="443"/>
      <c r="F118" s="443" t="s">
        <v>441</v>
      </c>
      <c r="G118" s="445" t="s">
        <v>362</v>
      </c>
      <c r="H118" s="445" t="s">
        <v>215</v>
      </c>
      <c r="I118" s="461" t="s">
        <v>2</v>
      </c>
      <c r="J118" s="68">
        <v>15801400</v>
      </c>
      <c r="K118" s="60">
        <v>15801400</v>
      </c>
      <c r="L118" s="446">
        <v>1E-4</v>
      </c>
      <c r="M118" s="60"/>
      <c r="N118" s="60">
        <v>3500</v>
      </c>
      <c r="O118" s="456">
        <f t="shared" si="6"/>
        <v>15801400</v>
      </c>
      <c r="P118" s="146" t="s">
        <v>216</v>
      </c>
      <c r="Q118" s="473"/>
      <c r="R118" s="15"/>
      <c r="S118" s="5"/>
    </row>
    <row r="119" spans="1:19" s="4" customFormat="1" ht="129.75" customHeight="1" outlineLevel="1" x14ac:dyDescent="0.25">
      <c r="A119" s="434">
        <v>75</v>
      </c>
      <c r="B119" s="451" t="s">
        <v>217</v>
      </c>
      <c r="C119" s="451" t="s">
        <v>202</v>
      </c>
      <c r="D119" s="443" t="s">
        <v>463</v>
      </c>
      <c r="E119" s="443"/>
      <c r="F119" s="443" t="s">
        <v>441</v>
      </c>
      <c r="G119" s="445" t="s">
        <v>362</v>
      </c>
      <c r="H119" s="445" t="s">
        <v>215</v>
      </c>
      <c r="I119" s="461" t="s">
        <v>2</v>
      </c>
      <c r="J119" s="68">
        <v>2554000</v>
      </c>
      <c r="K119" s="60">
        <v>2554000</v>
      </c>
      <c r="L119" s="446">
        <v>1E-4</v>
      </c>
      <c r="M119" s="60"/>
      <c r="N119" s="60">
        <f>500</f>
        <v>500</v>
      </c>
      <c r="O119" s="456">
        <f t="shared" si="6"/>
        <v>2554000</v>
      </c>
      <c r="P119" s="146" t="s">
        <v>218</v>
      </c>
      <c r="Q119" s="473"/>
      <c r="R119" s="15"/>
      <c r="S119" s="5"/>
    </row>
    <row r="120" spans="1:19" s="4" customFormat="1" ht="129.75" customHeight="1" outlineLevel="1" x14ac:dyDescent="0.25">
      <c r="A120" s="434">
        <v>76</v>
      </c>
      <c r="B120" s="451" t="s">
        <v>219</v>
      </c>
      <c r="C120" s="451" t="s">
        <v>202</v>
      </c>
      <c r="D120" s="443" t="s">
        <v>463</v>
      </c>
      <c r="E120" s="443"/>
      <c r="F120" s="443" t="s">
        <v>441</v>
      </c>
      <c r="G120" s="445" t="s">
        <v>362</v>
      </c>
      <c r="H120" s="445" t="s">
        <v>220</v>
      </c>
      <c r="I120" s="461" t="s">
        <v>2</v>
      </c>
      <c r="J120" s="68">
        <v>29053320</v>
      </c>
      <c r="K120" s="60">
        <v>29053320</v>
      </c>
      <c r="L120" s="446">
        <v>1E-4</v>
      </c>
      <c r="M120" s="60"/>
      <c r="N120" s="60">
        <f>2000+3000</f>
        <v>5000</v>
      </c>
      <c r="O120" s="456">
        <f t="shared" si="6"/>
        <v>29053320</v>
      </c>
      <c r="P120" s="146" t="s">
        <v>221</v>
      </c>
      <c r="Q120" s="473"/>
      <c r="R120" s="15"/>
      <c r="S120" s="5"/>
    </row>
    <row r="121" spans="1:19" s="4" customFormat="1" ht="129.75" customHeight="1" outlineLevel="1" x14ac:dyDescent="0.25">
      <c r="A121" s="434">
        <v>77</v>
      </c>
      <c r="B121" s="451" t="s">
        <v>222</v>
      </c>
      <c r="C121" s="451" t="s">
        <v>202</v>
      </c>
      <c r="D121" s="443" t="s">
        <v>463</v>
      </c>
      <c r="E121" s="443"/>
      <c r="F121" s="443" t="s">
        <v>441</v>
      </c>
      <c r="G121" s="445" t="s">
        <v>362</v>
      </c>
      <c r="H121" s="445" t="s">
        <v>223</v>
      </c>
      <c r="I121" s="461" t="s">
        <v>2</v>
      </c>
      <c r="J121" s="68">
        <v>192064443</v>
      </c>
      <c r="K121" s="60">
        <f>95000000+97064443</f>
        <v>192064443</v>
      </c>
      <c r="L121" s="446">
        <v>1E-4</v>
      </c>
      <c r="M121" s="60">
        <f>65000000+20000000+30000000+10000000+10000000</f>
        <v>135000000</v>
      </c>
      <c r="N121" s="60">
        <f>16100+12200+23933</f>
        <v>52233</v>
      </c>
      <c r="O121" s="456">
        <f t="shared" si="6"/>
        <v>57064443</v>
      </c>
      <c r="P121" s="146" t="s">
        <v>224</v>
      </c>
      <c r="Q121" s="473"/>
      <c r="R121" s="15"/>
      <c r="S121" s="5"/>
    </row>
    <row r="122" spans="1:19" s="4" customFormat="1" ht="129.75" customHeight="1" outlineLevel="1" x14ac:dyDescent="0.25">
      <c r="A122" s="434">
        <v>78</v>
      </c>
      <c r="B122" s="451" t="s">
        <v>226</v>
      </c>
      <c r="C122" s="451" t="s">
        <v>202</v>
      </c>
      <c r="D122" s="443" t="s">
        <v>463</v>
      </c>
      <c r="E122" s="443"/>
      <c r="F122" s="443" t="s">
        <v>441</v>
      </c>
      <c r="G122" s="445" t="s">
        <v>362</v>
      </c>
      <c r="H122" s="445" t="s">
        <v>225</v>
      </c>
      <c r="I122" s="461" t="s">
        <v>2</v>
      </c>
      <c r="J122" s="68">
        <v>3469534</v>
      </c>
      <c r="K122" s="60">
        <v>3469534</v>
      </c>
      <c r="L122" s="446">
        <v>1E-4</v>
      </c>
      <c r="M122" s="60">
        <v>266887</v>
      </c>
      <c r="N122" s="60">
        <f>600+86</f>
        <v>686</v>
      </c>
      <c r="O122" s="456">
        <f t="shared" si="6"/>
        <v>3202647</v>
      </c>
      <c r="P122" s="146" t="s">
        <v>227</v>
      </c>
      <c r="Q122" s="473"/>
      <c r="R122" s="15"/>
      <c r="S122" s="5"/>
    </row>
    <row r="123" spans="1:19" s="4" customFormat="1" ht="129.75" customHeight="1" outlineLevel="1" x14ac:dyDescent="0.25">
      <c r="A123" s="434">
        <v>79</v>
      </c>
      <c r="B123" s="451" t="s">
        <v>228</v>
      </c>
      <c r="C123" s="451" t="s">
        <v>202</v>
      </c>
      <c r="D123" s="443" t="s">
        <v>463</v>
      </c>
      <c r="E123" s="443"/>
      <c r="F123" s="443" t="s">
        <v>441</v>
      </c>
      <c r="G123" s="445" t="s">
        <v>362</v>
      </c>
      <c r="H123" s="445" t="s">
        <v>229</v>
      </c>
      <c r="I123" s="461" t="s">
        <v>2</v>
      </c>
      <c r="J123" s="68">
        <v>11781702</v>
      </c>
      <c r="K123" s="60">
        <v>11781702</v>
      </c>
      <c r="L123" s="446">
        <v>1E-4</v>
      </c>
      <c r="M123" s="60">
        <f>906285+906285+906285+906285+906285+906285+906285+906285+906285+906285</f>
        <v>9062850</v>
      </c>
      <c r="N123" s="60">
        <f>3000+1500+1500</f>
        <v>6000</v>
      </c>
      <c r="O123" s="456">
        <f t="shared" si="6"/>
        <v>2718852</v>
      </c>
      <c r="P123" s="146" t="s">
        <v>230</v>
      </c>
      <c r="Q123" s="473"/>
      <c r="R123" s="15"/>
      <c r="S123" s="5"/>
    </row>
    <row r="124" spans="1:19" s="4" customFormat="1" ht="129.75" customHeight="1" outlineLevel="1" x14ac:dyDescent="0.25">
      <c r="A124" s="434">
        <v>0</v>
      </c>
      <c r="B124" s="451" t="s">
        <v>231</v>
      </c>
      <c r="C124" s="451" t="s">
        <v>202</v>
      </c>
      <c r="D124" s="443" t="s">
        <v>463</v>
      </c>
      <c r="E124" s="443"/>
      <c r="F124" s="443" t="s">
        <v>441</v>
      </c>
      <c r="G124" s="445" t="s">
        <v>362</v>
      </c>
      <c r="H124" s="445" t="s">
        <v>232</v>
      </c>
      <c r="I124" s="461" t="s">
        <v>2</v>
      </c>
      <c r="J124" s="68">
        <f>112000000+16200000</f>
        <v>128200000</v>
      </c>
      <c r="K124" s="60">
        <f>112000000+16200000</f>
        <v>128200000</v>
      </c>
      <c r="L124" s="446">
        <v>1E-4</v>
      </c>
      <c r="M124" s="60">
        <f>3000000+3000000+4000000</f>
        <v>10000000</v>
      </c>
      <c r="N124" s="60">
        <f>25640+12820+12820+12820</f>
        <v>64100</v>
      </c>
      <c r="O124" s="456">
        <f t="shared" si="6"/>
        <v>118200000</v>
      </c>
      <c r="P124" s="146" t="s">
        <v>233</v>
      </c>
      <c r="Q124" s="473"/>
      <c r="R124" s="15"/>
      <c r="S124" s="5"/>
    </row>
    <row r="125" spans="1:19" s="4" customFormat="1" ht="129.75" customHeight="1" outlineLevel="1" x14ac:dyDescent="0.25">
      <c r="A125" s="434">
        <v>81</v>
      </c>
      <c r="B125" s="451" t="s">
        <v>234</v>
      </c>
      <c r="C125" s="451" t="s">
        <v>202</v>
      </c>
      <c r="D125" s="443" t="s">
        <v>463</v>
      </c>
      <c r="E125" s="443"/>
      <c r="F125" s="443" t="s">
        <v>441</v>
      </c>
      <c r="G125" s="445" t="s">
        <v>362</v>
      </c>
      <c r="H125" s="445" t="s">
        <v>235</v>
      </c>
      <c r="I125" s="461" t="s">
        <v>2</v>
      </c>
      <c r="J125" s="68">
        <v>26127500</v>
      </c>
      <c r="K125" s="60">
        <v>26127500</v>
      </c>
      <c r="L125" s="446">
        <v>1E-4</v>
      </c>
      <c r="M125" s="60"/>
      <c r="N125" s="60">
        <f>4530</f>
        <v>4530</v>
      </c>
      <c r="O125" s="456">
        <f t="shared" si="6"/>
        <v>26127500</v>
      </c>
      <c r="P125" s="146" t="s">
        <v>236</v>
      </c>
      <c r="Q125" s="473"/>
      <c r="R125" s="15"/>
      <c r="S125" s="5"/>
    </row>
    <row r="126" spans="1:19" s="4" customFormat="1" ht="129.75" customHeight="1" outlineLevel="1" x14ac:dyDescent="0.25">
      <c r="A126" s="434">
        <v>82</v>
      </c>
      <c r="B126" s="451" t="s">
        <v>237</v>
      </c>
      <c r="C126" s="451" t="s">
        <v>202</v>
      </c>
      <c r="D126" s="443" t="s">
        <v>463</v>
      </c>
      <c r="E126" s="443"/>
      <c r="F126" s="443" t="s">
        <v>441</v>
      </c>
      <c r="G126" s="445" t="s">
        <v>362</v>
      </c>
      <c r="H126" s="445" t="s">
        <v>238</v>
      </c>
      <c r="I126" s="461" t="s">
        <v>2</v>
      </c>
      <c r="J126" s="68">
        <v>19297200</v>
      </c>
      <c r="K126" s="60">
        <f>10800000+3440000+1440000+3617200</f>
        <v>19297200</v>
      </c>
      <c r="L126" s="446">
        <v>1E-4</v>
      </c>
      <c r="M126" s="60"/>
      <c r="N126" s="60">
        <f>3000</f>
        <v>3000</v>
      </c>
      <c r="O126" s="456">
        <f t="shared" si="6"/>
        <v>19297200</v>
      </c>
      <c r="P126" s="146" t="s">
        <v>239</v>
      </c>
      <c r="Q126" s="473"/>
      <c r="R126" s="15"/>
      <c r="S126" s="5"/>
    </row>
    <row r="127" spans="1:19" s="4" customFormat="1" ht="129.75" customHeight="1" outlineLevel="1" x14ac:dyDescent="0.25">
      <c r="A127" s="434">
        <v>83</v>
      </c>
      <c r="B127" s="451" t="s">
        <v>240</v>
      </c>
      <c r="C127" s="451" t="s">
        <v>202</v>
      </c>
      <c r="D127" s="443" t="s">
        <v>463</v>
      </c>
      <c r="E127" s="443"/>
      <c r="F127" s="443" t="s">
        <v>441</v>
      </c>
      <c r="G127" s="445" t="s">
        <v>362</v>
      </c>
      <c r="H127" s="445" t="s">
        <v>225</v>
      </c>
      <c r="I127" s="461" t="s">
        <v>2</v>
      </c>
      <c r="J127" s="68">
        <v>2164000</v>
      </c>
      <c r="K127" s="60">
        <v>2164000</v>
      </c>
      <c r="L127" s="446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456">
        <f>K127-N127</f>
        <v>2162875.2000000002</v>
      </c>
      <c r="P127" s="146" t="s">
        <v>241</v>
      </c>
      <c r="Q127" s="473"/>
      <c r="R127" s="15"/>
      <c r="S127" s="5"/>
    </row>
    <row r="128" spans="1:19" s="4" customFormat="1" ht="129.75" customHeight="1" outlineLevel="1" x14ac:dyDescent="0.25">
      <c r="A128" s="434">
        <v>84</v>
      </c>
      <c r="B128" s="451" t="s">
        <v>242</v>
      </c>
      <c r="C128" s="451" t="s">
        <v>202</v>
      </c>
      <c r="D128" s="443" t="s">
        <v>463</v>
      </c>
      <c r="E128" s="443"/>
      <c r="F128" s="443" t="s">
        <v>441</v>
      </c>
      <c r="G128" s="445" t="s">
        <v>362</v>
      </c>
      <c r="H128" s="445" t="s">
        <v>243</v>
      </c>
      <c r="I128" s="461" t="s">
        <v>2</v>
      </c>
      <c r="J128" s="68">
        <v>253504102</v>
      </c>
      <c r="K128" s="60">
        <v>253504102</v>
      </c>
      <c r="L128" s="446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456">
        <f t="shared" ref="O128:O134" si="7">K128-M128</f>
        <v>78001262</v>
      </c>
      <c r="P128" s="146" t="s">
        <v>244</v>
      </c>
      <c r="Q128" s="473"/>
      <c r="R128" s="15"/>
      <c r="S128" s="5"/>
    </row>
    <row r="129" spans="1:19" s="4" customFormat="1" ht="129.75" customHeight="1" outlineLevel="1" x14ac:dyDescent="0.25">
      <c r="A129" s="434">
        <v>85</v>
      </c>
      <c r="B129" s="451" t="s">
        <v>245</v>
      </c>
      <c r="C129" s="451" t="s">
        <v>202</v>
      </c>
      <c r="D129" s="443" t="s">
        <v>463</v>
      </c>
      <c r="E129" s="443"/>
      <c r="F129" s="443" t="s">
        <v>441</v>
      </c>
      <c r="G129" s="445" t="s">
        <v>362</v>
      </c>
      <c r="H129" s="445" t="s">
        <v>243</v>
      </c>
      <c r="I129" s="461" t="s">
        <v>2</v>
      </c>
      <c r="J129" s="68">
        <v>76200000</v>
      </c>
      <c r="K129" s="60">
        <v>76200000</v>
      </c>
      <c r="L129" s="446">
        <v>1E-4</v>
      </c>
      <c r="M129" s="60"/>
      <c r="N129" s="60">
        <f>7620+5520</f>
        <v>13140</v>
      </c>
      <c r="O129" s="456">
        <f t="shared" si="7"/>
        <v>76200000</v>
      </c>
      <c r="P129" s="146" t="s">
        <v>246</v>
      </c>
      <c r="Q129" s="473"/>
      <c r="R129" s="15"/>
      <c r="S129" s="5"/>
    </row>
    <row r="130" spans="1:19" s="4" customFormat="1" ht="81" outlineLevel="1" x14ac:dyDescent="0.25">
      <c r="A130" s="434">
        <v>86</v>
      </c>
      <c r="B130" s="451" t="s">
        <v>247</v>
      </c>
      <c r="C130" s="451" t="s">
        <v>202</v>
      </c>
      <c r="D130" s="443" t="s">
        <v>463</v>
      </c>
      <c r="E130" s="443"/>
      <c r="F130" s="443" t="s">
        <v>441</v>
      </c>
      <c r="G130" s="445" t="s">
        <v>362</v>
      </c>
      <c r="H130" s="445" t="s">
        <v>248</v>
      </c>
      <c r="I130" s="461" t="s">
        <v>2</v>
      </c>
      <c r="J130" s="68">
        <v>50613970</v>
      </c>
      <c r="K130" s="60">
        <v>50613970</v>
      </c>
      <c r="L130" s="446">
        <v>1E-4</v>
      </c>
      <c r="M130" s="60"/>
      <c r="N130" s="60">
        <f>8800+8800</f>
        <v>17600</v>
      </c>
      <c r="O130" s="456">
        <f t="shared" si="7"/>
        <v>50613970</v>
      </c>
      <c r="P130" s="146" t="s">
        <v>249</v>
      </c>
      <c r="Q130" s="473"/>
      <c r="R130" s="15"/>
      <c r="S130" s="5"/>
    </row>
    <row r="131" spans="1:19" s="4" customFormat="1" ht="81" outlineLevel="1" x14ac:dyDescent="0.25">
      <c r="A131" s="434">
        <v>87</v>
      </c>
      <c r="B131" s="451" t="s">
        <v>250</v>
      </c>
      <c r="C131" s="451" t="s">
        <v>202</v>
      </c>
      <c r="D131" s="443" t="s">
        <v>463</v>
      </c>
      <c r="E131" s="443"/>
      <c r="F131" s="443" t="s">
        <v>441</v>
      </c>
      <c r="G131" s="445" t="s">
        <v>362</v>
      </c>
      <c r="H131" s="445" t="s">
        <v>251</v>
      </c>
      <c r="I131" s="461" t="s">
        <v>2</v>
      </c>
      <c r="J131" s="68">
        <v>184740000</v>
      </c>
      <c r="K131" s="60">
        <v>184740000</v>
      </c>
      <c r="L131" s="446">
        <v>1E-4</v>
      </c>
      <c r="M131" s="60"/>
      <c r="N131" s="60">
        <f>31700</f>
        <v>31700</v>
      </c>
      <c r="O131" s="456">
        <f t="shared" si="7"/>
        <v>184740000</v>
      </c>
      <c r="P131" s="146" t="s">
        <v>252</v>
      </c>
      <c r="Q131" s="473"/>
      <c r="R131" s="15"/>
      <c r="S131" s="5"/>
    </row>
    <row r="132" spans="1:19" s="4" customFormat="1" ht="81" outlineLevel="1" x14ac:dyDescent="0.25">
      <c r="A132" s="434">
        <v>88</v>
      </c>
      <c r="B132" s="451" t="s">
        <v>253</v>
      </c>
      <c r="C132" s="451" t="s">
        <v>202</v>
      </c>
      <c r="D132" s="443" t="s">
        <v>463</v>
      </c>
      <c r="E132" s="443"/>
      <c r="F132" s="443" t="s">
        <v>441</v>
      </c>
      <c r="G132" s="445" t="s">
        <v>362</v>
      </c>
      <c r="H132" s="445" t="s">
        <v>254</v>
      </c>
      <c r="I132" s="461" t="s">
        <v>2</v>
      </c>
      <c r="J132" s="68">
        <v>219559596</v>
      </c>
      <c r="K132" s="60">
        <v>219559596</v>
      </c>
      <c r="L132" s="446">
        <v>1E-4</v>
      </c>
      <c r="M132" s="60">
        <f>16889200+16889200+185781196</f>
        <v>219559596</v>
      </c>
      <c r="N132" s="60">
        <f>5294+5294+27550+5533+1000</f>
        <v>44671</v>
      </c>
      <c r="O132" s="456">
        <f t="shared" si="7"/>
        <v>0</v>
      </c>
      <c r="P132" s="146" t="s">
        <v>438</v>
      </c>
      <c r="Q132" s="473"/>
      <c r="R132" s="15"/>
      <c r="S132" s="5"/>
    </row>
    <row r="133" spans="1:19" s="4" customFormat="1" ht="81" outlineLevel="1" x14ac:dyDescent="0.25">
      <c r="A133" s="434">
        <v>89</v>
      </c>
      <c r="B133" s="451" t="s">
        <v>255</v>
      </c>
      <c r="C133" s="451" t="s">
        <v>202</v>
      </c>
      <c r="D133" s="443" t="s">
        <v>463</v>
      </c>
      <c r="E133" s="443"/>
      <c r="F133" s="443" t="s">
        <v>441</v>
      </c>
      <c r="G133" s="445" t="s">
        <v>362</v>
      </c>
      <c r="H133" s="445" t="s">
        <v>251</v>
      </c>
      <c r="I133" s="461" t="s">
        <v>2</v>
      </c>
      <c r="J133" s="68">
        <v>29081500</v>
      </c>
      <c r="K133" s="60">
        <v>29081500</v>
      </c>
      <c r="L133" s="446">
        <v>1E-4</v>
      </c>
      <c r="M133" s="60"/>
      <c r="N133" s="60">
        <f>1000+4000+3000+1000+1000</f>
        <v>10000</v>
      </c>
      <c r="O133" s="456">
        <f t="shared" si="7"/>
        <v>29081500</v>
      </c>
      <c r="P133" s="146" t="s">
        <v>256</v>
      </c>
      <c r="Q133" s="473"/>
      <c r="R133" s="15"/>
      <c r="S133" s="5"/>
    </row>
    <row r="134" spans="1:19" s="4" customFormat="1" ht="123" customHeight="1" outlineLevel="1" thickBot="1" x14ac:dyDescent="0.3">
      <c r="A134" s="434">
        <v>90</v>
      </c>
      <c r="B134" s="451" t="s">
        <v>257</v>
      </c>
      <c r="C134" s="451" t="s">
        <v>202</v>
      </c>
      <c r="D134" s="443" t="s">
        <v>463</v>
      </c>
      <c r="E134" s="443"/>
      <c r="F134" s="443" t="s">
        <v>441</v>
      </c>
      <c r="G134" s="445" t="s">
        <v>362</v>
      </c>
      <c r="H134" s="445" t="s">
        <v>258</v>
      </c>
      <c r="I134" s="461" t="s">
        <v>2</v>
      </c>
      <c r="J134" s="68">
        <v>12060940</v>
      </c>
      <c r="K134" s="79">
        <v>12060940</v>
      </c>
      <c r="L134" s="446">
        <v>1E-4</v>
      </c>
      <c r="M134" s="60"/>
      <c r="N134" s="60">
        <v>2170</v>
      </c>
      <c r="O134" s="456">
        <f t="shared" si="7"/>
        <v>12060940</v>
      </c>
      <c r="P134" s="146" t="s">
        <v>259</v>
      </c>
      <c r="Q134" s="473"/>
      <c r="R134" s="15"/>
      <c r="S134" s="5"/>
    </row>
    <row r="135" spans="1:19" s="9" customFormat="1" ht="30" customHeight="1" x14ac:dyDescent="0.25">
      <c r="A135" s="585" t="s">
        <v>437</v>
      </c>
      <c r="B135" s="586"/>
      <c r="C135" s="587"/>
      <c r="D135" s="309"/>
      <c r="E135" s="309"/>
      <c r="F135" s="80"/>
      <c r="G135" s="80"/>
      <c r="H135" s="80"/>
      <c r="I135" s="315" t="s">
        <v>29</v>
      </c>
      <c r="J135" s="10">
        <f>SUMIF($I$114:$I$134,I135,$J$114:$J$134)</f>
        <v>0</v>
      </c>
      <c r="K135" s="13">
        <f>SUMIF($I$104:$I$134,I135,$K$104:$K$134)</f>
        <v>0</v>
      </c>
      <c r="L135" s="13"/>
      <c r="M135" s="14">
        <f>SUMIF($I$114:$I$134,I135,$M$114:$M$134)</f>
        <v>0</v>
      </c>
      <c r="N135" s="13">
        <f>SUMIF($I$104:$I$134,I135,$N$104:$N$134)</f>
        <v>0</v>
      </c>
      <c r="O135" s="13">
        <f>SUMIF($I$104:$I$134,I135,$O$104:$O$134)</f>
        <v>0</v>
      </c>
      <c r="P135" s="147"/>
      <c r="Q135" s="325"/>
      <c r="R135" s="8"/>
      <c r="S135" s="5"/>
    </row>
    <row r="136" spans="1:19" s="9" customFormat="1" ht="27" customHeight="1" x14ac:dyDescent="0.25">
      <c r="A136" s="585"/>
      <c r="B136" s="586"/>
      <c r="C136" s="587"/>
      <c r="D136" s="41"/>
      <c r="E136" s="41"/>
      <c r="F136" s="54"/>
      <c r="G136" s="54"/>
      <c r="H136" s="54"/>
      <c r="I136" s="316" t="s">
        <v>2</v>
      </c>
      <c r="J136" s="11">
        <f>SUMIF($I$114:$I$134,I136,$J$114:$J$134)</f>
        <v>2011462986</v>
      </c>
      <c r="K136" s="11">
        <f>SUMIF($I$114:$I$134,I136,$K$114:$K$134)</f>
        <v>2011462986</v>
      </c>
      <c r="L136" s="11"/>
      <c r="M136" s="11">
        <f>SUMIF($I$114:$I$134,I136,$M$114:$M$134)</f>
        <v>729553785.20000005</v>
      </c>
      <c r="N136" s="11">
        <f>SUMIF($I$114:$I$134,I136,$N$114:$N$134)</f>
        <v>542405.19999999995</v>
      </c>
      <c r="O136" s="11">
        <f>SUMIF($I$114:$I$134,I136,$O$114:$O$134)</f>
        <v>1283238923</v>
      </c>
      <c r="P136" s="148"/>
      <c r="Q136" s="318"/>
      <c r="R136" s="8"/>
      <c r="S136" s="5"/>
    </row>
    <row r="137" spans="1:19" s="9" customFormat="1" ht="28.5" customHeight="1" x14ac:dyDescent="0.25">
      <c r="A137" s="585"/>
      <c r="B137" s="586"/>
      <c r="C137" s="587"/>
      <c r="D137" s="41"/>
      <c r="E137" s="41"/>
      <c r="F137" s="54"/>
      <c r="G137" s="54"/>
      <c r="H137" s="54"/>
      <c r="I137" s="316" t="s">
        <v>51</v>
      </c>
      <c r="J137" s="11">
        <f>SUMIF($I$114:$I$134,I137,$J$114:$J$134)</f>
        <v>0</v>
      </c>
      <c r="K137" s="11">
        <f>SUMIF($I$104:$I$134,I137,$K$104:$K$134)</f>
        <v>0</v>
      </c>
      <c r="L137" s="11"/>
      <c r="M137" s="11">
        <f>SUMIF($I$104:$I$134,I137,$M$104:$M$134)</f>
        <v>0</v>
      </c>
      <c r="N137" s="11">
        <f>SUMIF($I$104:$I$134,I137,$N$104:$N$134)</f>
        <v>0</v>
      </c>
      <c r="O137" s="11">
        <f>SUMIF($I$104:$I$134,I137,$O$104:$O$134)</f>
        <v>0</v>
      </c>
      <c r="P137" s="148"/>
      <c r="Q137" s="318"/>
      <c r="R137" s="8"/>
      <c r="S137" s="5"/>
    </row>
    <row r="138" spans="1:19" s="9" customFormat="1" ht="30" customHeight="1" thickBot="1" x14ac:dyDescent="0.3">
      <c r="A138" s="588"/>
      <c r="B138" s="589"/>
      <c r="C138" s="590"/>
      <c r="D138" s="306"/>
      <c r="E138" s="306"/>
      <c r="F138" s="57"/>
      <c r="G138" s="57"/>
      <c r="H138" s="57"/>
      <c r="I138" s="303" t="s">
        <v>71</v>
      </c>
      <c r="J138" s="12">
        <f>SUMIF($I$114:$I$134,I138,$J$114:$J$134)</f>
        <v>0</v>
      </c>
      <c r="K138" s="12">
        <f>SUMIF($I$104:$I$134,I138,$K$104:$K$134)</f>
        <v>0</v>
      </c>
      <c r="L138" s="12"/>
      <c r="M138" s="12">
        <f>SUMIF($I$104:$I$134,I138,$M$104:$M$134)</f>
        <v>0</v>
      </c>
      <c r="N138" s="12">
        <f>SUMIF($I$104:$I$134,I138,$N$104:$N$134)</f>
        <v>0</v>
      </c>
      <c r="O138" s="12">
        <f>SUMIF($I$104:$I$134,I138,$O$104:$O$134)</f>
        <v>0</v>
      </c>
      <c r="P138" s="150"/>
      <c r="Q138" s="320"/>
      <c r="R138" s="8"/>
      <c r="S138" s="5"/>
    </row>
    <row r="139" spans="1:19" s="9" customFormat="1" ht="15.75" customHeight="1" x14ac:dyDescent="0.25">
      <c r="A139" s="591" t="s">
        <v>260</v>
      </c>
      <c r="B139" s="592"/>
      <c r="C139" s="593"/>
      <c r="D139" s="309"/>
      <c r="E139" s="309"/>
      <c r="F139" s="80"/>
      <c r="G139" s="80"/>
      <c r="H139" s="80"/>
      <c r="I139" s="315" t="s">
        <v>29</v>
      </c>
      <c r="J139" s="14">
        <f t="shared" ref="J139:O142" si="8">J46+J57+J68+J100+J110+J135</f>
        <v>340755742.28000003</v>
      </c>
      <c r="K139" s="14">
        <f t="shared" si="8"/>
        <v>142201245.31</v>
      </c>
      <c r="L139" s="14">
        <f t="shared" si="8"/>
        <v>0</v>
      </c>
      <c r="M139" s="14">
        <f t="shared" si="8"/>
        <v>54333502.78982874</v>
      </c>
      <c r="N139" s="14">
        <f t="shared" si="8"/>
        <v>20831094.674242474</v>
      </c>
      <c r="O139" s="14">
        <f t="shared" si="8"/>
        <v>88629310.950171262</v>
      </c>
      <c r="P139" s="152"/>
      <c r="Q139" s="325"/>
      <c r="R139" s="8"/>
      <c r="S139" s="5"/>
    </row>
    <row r="140" spans="1:19" s="9" customFormat="1" ht="17.25" customHeight="1" x14ac:dyDescent="0.25">
      <c r="A140" s="585"/>
      <c r="B140" s="586"/>
      <c r="C140" s="587"/>
      <c r="D140" s="41"/>
      <c r="E140" s="41"/>
      <c r="F140" s="54"/>
      <c r="G140" s="54"/>
      <c r="H140" s="54"/>
      <c r="I140" s="316" t="s">
        <v>2</v>
      </c>
      <c r="J140" s="14">
        <f t="shared" si="8"/>
        <v>175930602204.10001</v>
      </c>
      <c r="K140" s="14">
        <f t="shared" si="8"/>
        <v>195389934019.41</v>
      </c>
      <c r="L140" s="14">
        <f t="shared" si="8"/>
        <v>0</v>
      </c>
      <c r="M140" s="14">
        <f t="shared" si="8"/>
        <v>96993993613.144699</v>
      </c>
      <c r="N140" s="14">
        <f t="shared" si="8"/>
        <v>50224251567.780441</v>
      </c>
      <c r="O140" s="14">
        <f t="shared" si="8"/>
        <v>98397270128.465271</v>
      </c>
      <c r="P140" s="148"/>
      <c r="Q140" s="318"/>
      <c r="R140" s="8"/>
      <c r="S140" s="5"/>
    </row>
    <row r="141" spans="1:19" s="9" customFormat="1" ht="15" customHeight="1" x14ac:dyDescent="0.25">
      <c r="A141" s="585"/>
      <c r="B141" s="586"/>
      <c r="C141" s="587"/>
      <c r="D141" s="41"/>
      <c r="E141" s="41"/>
      <c r="F141" s="54"/>
      <c r="G141" s="54"/>
      <c r="H141" s="54"/>
      <c r="I141" s="316" t="s">
        <v>51</v>
      </c>
      <c r="J141" s="14">
        <f t="shared" si="8"/>
        <v>481140620.32000005</v>
      </c>
      <c r="K141" s="14">
        <f t="shared" si="8"/>
        <v>360813919.96000004</v>
      </c>
      <c r="L141" s="14">
        <f t="shared" si="8"/>
        <v>0</v>
      </c>
      <c r="M141" s="14">
        <f t="shared" si="8"/>
        <v>126872309.33878487</v>
      </c>
      <c r="N141" s="14">
        <f t="shared" si="8"/>
        <v>69506989.511586115</v>
      </c>
      <c r="O141" s="14">
        <f t="shared" si="8"/>
        <v>233941610.62121516</v>
      </c>
      <c r="P141" s="148"/>
      <c r="Q141" s="318"/>
      <c r="R141" s="8"/>
      <c r="S141" s="5"/>
    </row>
    <row r="142" spans="1:19" s="9" customFormat="1" ht="25.5" customHeight="1" x14ac:dyDescent="0.25">
      <c r="A142" s="585"/>
      <c r="B142" s="586"/>
      <c r="C142" s="587"/>
      <c r="D142" s="41"/>
      <c r="E142" s="41"/>
      <c r="F142" s="54"/>
      <c r="G142" s="54"/>
      <c r="H142" s="54"/>
      <c r="I142" s="316" t="s">
        <v>71</v>
      </c>
      <c r="J142" s="14">
        <f t="shared" si="8"/>
        <v>31777311969</v>
      </c>
      <c r="K142" s="14">
        <f t="shared" si="8"/>
        <v>31859249643</v>
      </c>
      <c r="L142" s="14">
        <f t="shared" si="8"/>
        <v>0</v>
      </c>
      <c r="M142" s="14">
        <f t="shared" si="8"/>
        <v>12748532590.394199</v>
      </c>
      <c r="N142" s="14">
        <f t="shared" si="8"/>
        <v>3651976207.5861864</v>
      </c>
      <c r="O142" s="14">
        <f t="shared" si="8"/>
        <v>19110717052.605801</v>
      </c>
      <c r="P142" s="149"/>
      <c r="Q142" s="319"/>
      <c r="R142" s="8"/>
      <c r="S142" s="5"/>
    </row>
    <row r="143" spans="1:19" s="9" customFormat="1" ht="15" customHeight="1" thickBot="1" x14ac:dyDescent="0.3">
      <c r="A143" s="588"/>
      <c r="B143" s="589"/>
      <c r="C143" s="590"/>
      <c r="D143" s="306"/>
      <c r="E143" s="306"/>
      <c r="F143" s="57"/>
      <c r="G143" s="57"/>
      <c r="H143" s="57"/>
      <c r="I143" s="316" t="s">
        <v>61</v>
      </c>
      <c r="J143" s="14">
        <f t="shared" ref="J143:O143" si="9">J50</f>
        <v>24086688</v>
      </c>
      <c r="K143" s="14">
        <f t="shared" si="9"/>
        <v>18384172.012149811</v>
      </c>
      <c r="L143" s="14">
        <f t="shared" si="9"/>
        <v>0</v>
      </c>
      <c r="M143" s="14">
        <f t="shared" si="9"/>
        <v>4356879.5040346272</v>
      </c>
      <c r="N143" s="14">
        <f t="shared" si="9"/>
        <v>2915190.8613051148</v>
      </c>
      <c r="O143" s="14">
        <f t="shared" si="9"/>
        <v>14027292.508115182</v>
      </c>
      <c r="P143" s="149"/>
      <c r="Q143" s="319"/>
      <c r="R143" s="8"/>
      <c r="S143" s="5"/>
    </row>
    <row r="144" spans="1:19" ht="51" customHeight="1" thickBot="1" x14ac:dyDescent="0.3">
      <c r="A144" s="81">
        <v>95</v>
      </c>
      <c r="B144" s="82" t="s">
        <v>261</v>
      </c>
      <c r="C144" s="83" t="s">
        <v>262</v>
      </c>
      <c r="D144" s="468" t="s">
        <v>463</v>
      </c>
      <c r="E144" s="468"/>
      <c r="F144" s="468" t="s">
        <v>441</v>
      </c>
      <c r="G144" s="468" t="s">
        <v>363</v>
      </c>
      <c r="H144" s="468" t="s">
        <v>263</v>
      </c>
      <c r="I144" s="83" t="s">
        <v>2</v>
      </c>
      <c r="J144" s="84">
        <f>834800635300+144000000000+32000000000+132000000000+3500000000+14000000000+2900000000+4000000000</f>
        <v>1167200635300</v>
      </c>
      <c r="K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4" s="102">
        <v>1E-4</v>
      </c>
      <c r="M144" s="85"/>
      <c r="N144" s="85"/>
      <c r="O144" s="86">
        <f>K144-M144</f>
        <v>1161789822801.3999</v>
      </c>
      <c r="P144" s="153" t="s">
        <v>76</v>
      </c>
      <c r="Q144" s="326"/>
      <c r="S144" s="9"/>
    </row>
    <row r="145" spans="2:19" ht="17.25" x14ac:dyDescent="0.3">
      <c r="B145" s="87" t="s">
        <v>2</v>
      </c>
      <c r="C145" s="88"/>
      <c r="I145" s="90"/>
      <c r="J145" s="16"/>
      <c r="K145" s="16"/>
      <c r="O145" s="92"/>
      <c r="P145" s="18"/>
      <c r="Q145" s="18"/>
    </row>
    <row r="146" spans="2:19" ht="17.25" x14ac:dyDescent="0.3">
      <c r="B146" s="87" t="s">
        <v>51</v>
      </c>
      <c r="C146" s="88">
        <v>387.32</v>
      </c>
      <c r="J146" s="16"/>
      <c r="K146" s="17"/>
      <c r="L146" s="93"/>
      <c r="N146" s="16"/>
      <c r="O146" s="94"/>
      <c r="P146" s="95"/>
      <c r="Q146" s="95"/>
    </row>
    <row r="147" spans="2:19" ht="17.25" x14ac:dyDescent="0.3">
      <c r="B147" s="87" t="s">
        <v>71</v>
      </c>
      <c r="C147" s="96">
        <v>2.7040000000000002</v>
      </c>
      <c r="K147" s="16"/>
      <c r="N147" s="16"/>
      <c r="O147" s="19"/>
      <c r="P147" s="97"/>
      <c r="Q147" s="97"/>
    </row>
    <row r="148" spans="2:19" ht="17.25" x14ac:dyDescent="0.3">
      <c r="B148" s="87" t="s">
        <v>29</v>
      </c>
      <c r="C148" s="88">
        <v>432.44</v>
      </c>
      <c r="K148" s="17"/>
      <c r="N148" s="16"/>
      <c r="O148" s="17"/>
      <c r="P148" s="97"/>
      <c r="Q148" s="97"/>
    </row>
    <row r="149" spans="2:19" ht="17.25" x14ac:dyDescent="0.3">
      <c r="B149" s="87" t="s">
        <v>61</v>
      </c>
      <c r="C149" s="88">
        <v>524.28</v>
      </c>
      <c r="N149" s="18"/>
      <c r="O149" s="16"/>
      <c r="P149" s="5"/>
      <c r="Q149" s="5"/>
    </row>
    <row r="150" spans="2:19" x14ac:dyDescent="0.25">
      <c r="P150" s="5"/>
      <c r="Q150" s="5"/>
    </row>
    <row r="151" spans="2:19" x14ac:dyDescent="0.25">
      <c r="O151" s="19"/>
    </row>
    <row r="152" spans="2:19" x14ac:dyDescent="0.25">
      <c r="K152" s="19"/>
      <c r="N152" s="16"/>
      <c r="O152" s="19"/>
    </row>
    <row r="153" spans="2:19" x14ac:dyDescent="0.25">
      <c r="O153" s="16"/>
    </row>
    <row r="154" spans="2:19" x14ac:dyDescent="0.25">
      <c r="O154" s="16"/>
    </row>
    <row r="158" spans="2:19" x14ac:dyDescent="0.25">
      <c r="O158" s="16"/>
    </row>
    <row r="159" spans="2:19" s="17" customFormat="1" x14ac:dyDescent="0.25">
      <c r="B159" s="20"/>
      <c r="C159" s="6"/>
      <c r="D159" s="6"/>
      <c r="E159" s="6"/>
      <c r="F159" s="6"/>
      <c r="G159" s="89"/>
      <c r="H159" s="6"/>
      <c r="I159" s="6"/>
      <c r="J159" s="6"/>
      <c r="K159" s="6"/>
      <c r="L159" s="91"/>
      <c r="M159" s="6"/>
      <c r="N159" s="6"/>
      <c r="O159" s="16"/>
      <c r="P159" s="6"/>
      <c r="Q159" s="6"/>
      <c r="R159" s="5"/>
      <c r="S159" s="6"/>
    </row>
    <row r="160" spans="2:19" x14ac:dyDescent="0.25">
      <c r="S160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4:J109 K104:Q109 A72:Q72" name="Nona"/>
    <protectedRange algorithmName="SHA-512" hashValue="vw/tfZfxCvSE0U6Hm2G3C/Aj3bUp3KdD+IHhHinfC+crRPhv3Uapv1zQ/dMQFE5wwqt30lhFdhsH6enTApEPhg==" saltValue="AJSG7Dc7ySbRZF9wPd6fsA==" spinCount="100000" sqref="P97:Q99 A61:N62 A97:N99 P61:Q62" name="Nara"/>
    <protectedRange algorithmName="SHA-512" hashValue="R0m7mG/o0t2+7dbQTzM5iQkFX2amgAS+iAGJudQnnweh07e6LDAbSuhvcwbzcp7drP+HIG4d/wHfMCXiBXmkow==" saltValue="hXh6Ce3lteSj/cvmR3BSBw==" spinCount="100000" sqref="A114:N134 P95:Q97 P144:Q144 P114:Q134 A95:N97 A144:N144" name="Narine"/>
    <protectedRange password="C670" sqref="P79:Q90 A79:J90 A73:J76 A64:Q67 K73:Q76 K79:O90" name="Maria"/>
  </protectedRanges>
  <mergeCells count="116">
    <mergeCell ref="A135:C138"/>
    <mergeCell ref="A139:C143"/>
    <mergeCell ref="P91:P92"/>
    <mergeCell ref="A100:C103"/>
    <mergeCell ref="C105:C107"/>
    <mergeCell ref="A110:C113"/>
    <mergeCell ref="A91:A92"/>
    <mergeCell ref="B91:B92"/>
    <mergeCell ref="C91:C92"/>
    <mergeCell ref="D91:D92"/>
    <mergeCell ref="G91:G92"/>
    <mergeCell ref="H91:H92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P52:P53"/>
    <mergeCell ref="A55:A56"/>
    <mergeCell ref="C55:C56"/>
    <mergeCell ref="P55:P56"/>
    <mergeCell ref="P34:P36"/>
    <mergeCell ref="A42:A43"/>
    <mergeCell ref="C42:C43"/>
    <mergeCell ref="E42:E43"/>
    <mergeCell ref="G42:G43"/>
    <mergeCell ref="H42:H43"/>
    <mergeCell ref="P42:P43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5" priority="6" operator="notEqual">
      <formula>#REF!</formula>
    </cfRule>
  </conditionalFormatting>
  <conditionalFormatting sqref="K93 K6:K33 K35:K44">
    <cfRule type="cellIs" dxfId="4" priority="5" operator="notEqual">
      <formula>#REF!</formula>
    </cfRule>
  </conditionalFormatting>
  <conditionalFormatting sqref="J21">
    <cfRule type="cellIs" dxfId="3" priority="4" operator="notEqual">
      <formula>#REF!</formula>
    </cfRule>
  </conditionalFormatting>
  <conditionalFormatting sqref="K45">
    <cfRule type="cellIs" dxfId="2" priority="3" operator="notEqual">
      <formula>#REF!</formula>
    </cfRule>
  </conditionalFormatting>
  <conditionalFormatting sqref="K78">
    <cfRule type="cellIs" dxfId="1" priority="2" operator="notEqual">
      <formula>#REF!</formula>
    </cfRule>
  </conditionalFormatting>
  <conditionalFormatting sqref="K94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7"/>
  <sheetViews>
    <sheetView zoomScaleNormal="100" workbookViewId="0">
      <selection activeCell="C15" sqref="C15"/>
    </sheetView>
  </sheetViews>
  <sheetFormatPr defaultColWidth="25.85546875" defaultRowHeight="15.75" x14ac:dyDescent="0.25"/>
  <cols>
    <col min="1" max="1" width="35.85546875" style="225" customWidth="1"/>
    <col min="2" max="2" width="32.28515625" style="225" customWidth="1"/>
    <col min="3" max="3" width="35.85546875" style="225" customWidth="1"/>
    <col min="4" max="4" width="32.42578125" style="225" customWidth="1"/>
    <col min="5" max="5" width="28.85546875" style="225" customWidth="1"/>
    <col min="6" max="6" width="22.28515625" style="225" customWidth="1"/>
    <col min="7" max="16384" width="25.85546875" style="225"/>
  </cols>
  <sheetData>
    <row r="1" spans="1:8" s="337" customFormat="1" x14ac:dyDescent="0.25">
      <c r="A1" s="612" t="s">
        <v>270</v>
      </c>
      <c r="B1" s="612"/>
      <c r="C1" s="612"/>
      <c r="D1" s="612"/>
      <c r="E1" s="612"/>
    </row>
    <row r="2" spans="1:8" s="337" customFormat="1" ht="61.5" customHeight="1" x14ac:dyDescent="0.25">
      <c r="A2" s="612" t="s">
        <v>540</v>
      </c>
      <c r="B2" s="612"/>
      <c r="C2" s="612"/>
      <c r="D2" s="612"/>
      <c r="E2" s="612"/>
    </row>
    <row r="4" spans="1:8" ht="16.5" thickBot="1" x14ac:dyDescent="0.3"/>
    <row r="5" spans="1:8" s="337" customFormat="1" ht="51.75" x14ac:dyDescent="0.25">
      <c r="A5" s="343" t="s">
        <v>271</v>
      </c>
      <c r="B5" s="344" t="s">
        <v>272</v>
      </c>
      <c r="C5" s="344" t="s">
        <v>273</v>
      </c>
      <c r="D5" s="344" t="s">
        <v>274</v>
      </c>
      <c r="E5" s="345" t="s">
        <v>283</v>
      </c>
    </row>
    <row r="6" spans="1:8" ht="34.5" x14ac:dyDescent="0.25">
      <c r="A6" s="346" t="s">
        <v>365</v>
      </c>
      <c r="B6" s="338" t="s">
        <v>364</v>
      </c>
      <c r="C6" s="338" t="s">
        <v>366</v>
      </c>
      <c r="D6" s="339">
        <v>500000000</v>
      </c>
      <c r="E6" s="347">
        <v>0</v>
      </c>
      <c r="G6" s="226"/>
      <c r="H6" s="226"/>
    </row>
    <row r="7" spans="1:8" ht="34.5" x14ac:dyDescent="0.25">
      <c r="A7" s="348" t="s">
        <v>371</v>
      </c>
      <c r="B7" s="338" t="s">
        <v>364</v>
      </c>
      <c r="C7" s="338" t="s">
        <v>377</v>
      </c>
      <c r="D7" s="339">
        <v>1248200000</v>
      </c>
      <c r="E7" s="347">
        <v>1248200000</v>
      </c>
      <c r="G7" s="226"/>
      <c r="H7" s="226"/>
    </row>
    <row r="8" spans="1:8" ht="34.5" x14ac:dyDescent="0.25">
      <c r="A8" s="348" t="s">
        <v>372</v>
      </c>
      <c r="B8" s="338" t="s">
        <v>275</v>
      </c>
      <c r="C8" s="338" t="s">
        <v>378</v>
      </c>
      <c r="D8" s="339">
        <v>139373675</v>
      </c>
      <c r="E8" s="347">
        <v>139373675</v>
      </c>
      <c r="G8" s="226"/>
      <c r="H8" s="226"/>
    </row>
    <row r="9" spans="1:8" ht="33" customHeight="1" x14ac:dyDescent="0.25">
      <c r="A9" s="348" t="s">
        <v>373</v>
      </c>
      <c r="B9" s="338" t="s">
        <v>375</v>
      </c>
      <c r="C9" s="338" t="s">
        <v>377</v>
      </c>
      <c r="D9" s="339">
        <v>900000000</v>
      </c>
      <c r="E9" s="347">
        <v>900000000</v>
      </c>
      <c r="G9" s="226"/>
      <c r="H9" s="226"/>
    </row>
    <row r="10" spans="1:8" ht="34.5" x14ac:dyDescent="0.25">
      <c r="A10" s="348" t="s">
        <v>374</v>
      </c>
      <c r="B10" s="338" t="s">
        <v>376</v>
      </c>
      <c r="C10" s="338" t="s">
        <v>378</v>
      </c>
      <c r="D10" s="339">
        <v>250000000</v>
      </c>
      <c r="E10" s="347">
        <v>250000000</v>
      </c>
      <c r="G10" s="226"/>
      <c r="H10" s="226"/>
    </row>
    <row r="11" spans="1:8" ht="34.5" x14ac:dyDescent="0.25">
      <c r="A11" s="349" t="s">
        <v>395</v>
      </c>
      <c r="B11" s="338" t="s">
        <v>275</v>
      </c>
      <c r="C11" s="338" t="s">
        <v>419</v>
      </c>
      <c r="D11" s="339">
        <v>218138000</v>
      </c>
      <c r="E11" s="347">
        <v>218138000</v>
      </c>
      <c r="G11" s="226"/>
      <c r="H11" s="226"/>
    </row>
    <row r="12" spans="1:8" ht="28.5" customHeight="1" x14ac:dyDescent="0.25">
      <c r="A12" s="349" t="s">
        <v>388</v>
      </c>
      <c r="B12" s="338" t="s">
        <v>275</v>
      </c>
      <c r="C12" s="338" t="s">
        <v>420</v>
      </c>
      <c r="D12" s="339">
        <v>692955973</v>
      </c>
      <c r="E12" s="347">
        <v>692955972</v>
      </c>
      <c r="G12" s="226"/>
      <c r="H12" s="226"/>
    </row>
    <row r="13" spans="1:8" ht="36.75" customHeight="1" x14ac:dyDescent="0.25">
      <c r="A13" s="348" t="s">
        <v>421</v>
      </c>
      <c r="B13" s="338" t="s">
        <v>275</v>
      </c>
      <c r="C13" s="338" t="s">
        <v>422</v>
      </c>
      <c r="D13" s="339">
        <v>674283500</v>
      </c>
      <c r="E13" s="347">
        <v>674283500</v>
      </c>
      <c r="G13" s="226"/>
      <c r="H13" s="226"/>
    </row>
    <row r="14" spans="1:8" ht="34.5" x14ac:dyDescent="0.25">
      <c r="A14" s="348" t="s">
        <v>365</v>
      </c>
      <c r="B14" s="338" t="s">
        <v>364</v>
      </c>
      <c r="C14" s="338" t="s">
        <v>445</v>
      </c>
      <c r="D14" s="339">
        <v>750000000</v>
      </c>
      <c r="E14" s="347">
        <v>750000000</v>
      </c>
      <c r="G14" s="226"/>
      <c r="H14" s="226"/>
    </row>
    <row r="15" spans="1:8" ht="69" x14ac:dyDescent="0.25">
      <c r="A15" s="348" t="s">
        <v>365</v>
      </c>
      <c r="B15" s="338" t="s">
        <v>282</v>
      </c>
      <c r="C15" s="340" t="s">
        <v>452</v>
      </c>
      <c r="D15" s="339">
        <v>150000000</v>
      </c>
      <c r="E15" s="347">
        <v>150000000</v>
      </c>
      <c r="G15" s="226"/>
      <c r="H15" s="226"/>
    </row>
    <row r="16" spans="1:8" ht="50.25" customHeight="1" x14ac:dyDescent="0.25">
      <c r="A16" s="348" t="s">
        <v>450</v>
      </c>
      <c r="B16" s="338" t="s">
        <v>275</v>
      </c>
      <c r="C16" s="340" t="s">
        <v>453</v>
      </c>
      <c r="D16" s="339">
        <v>500000000</v>
      </c>
      <c r="E16" s="347">
        <v>500000000</v>
      </c>
      <c r="G16" s="226"/>
      <c r="H16" s="226"/>
    </row>
    <row r="17" spans="1:8" ht="47.25" customHeight="1" x14ac:dyDescent="0.25">
      <c r="A17" s="348" t="s">
        <v>451</v>
      </c>
      <c r="B17" s="338" t="s">
        <v>275</v>
      </c>
      <c r="C17" s="340" t="s">
        <v>454</v>
      </c>
      <c r="D17" s="339">
        <v>1283781000</v>
      </c>
      <c r="E17" s="347">
        <v>1283781000</v>
      </c>
      <c r="G17" s="226"/>
      <c r="H17" s="226"/>
    </row>
    <row r="18" spans="1:8" ht="33" customHeight="1" thickBot="1" x14ac:dyDescent="0.3">
      <c r="A18" s="350" t="s">
        <v>276</v>
      </c>
      <c r="B18" s="351"/>
      <c r="C18" s="351"/>
      <c r="D18" s="352">
        <f>SUM(D6:D17)</f>
        <v>7306732148</v>
      </c>
      <c r="E18" s="353">
        <f>SUM(E6:E17)</f>
        <v>6806732147</v>
      </c>
    </row>
    <row r="21" spans="1:8" ht="17.25" x14ac:dyDescent="0.3">
      <c r="A21" s="341"/>
      <c r="B21" s="341"/>
      <c r="C21" s="341"/>
      <c r="D21" s="341"/>
      <c r="E21" s="341"/>
      <c r="F21" s="341"/>
      <c r="G21" s="342"/>
      <c r="H21" s="342"/>
    </row>
    <row r="22" spans="1:8" ht="17.25" x14ac:dyDescent="0.3">
      <c r="A22" s="341"/>
      <c r="B22" s="341"/>
      <c r="C22" s="341"/>
      <c r="D22" s="341"/>
      <c r="E22" s="341"/>
      <c r="F22" s="341"/>
      <c r="G22" s="342"/>
      <c r="H22" s="342"/>
    </row>
    <row r="23" spans="1:8" ht="17.25" x14ac:dyDescent="0.3">
      <c r="A23" s="341"/>
      <c r="B23" s="341"/>
      <c r="C23" s="341"/>
      <c r="D23" s="341"/>
      <c r="E23" s="341"/>
      <c r="F23" s="341"/>
      <c r="G23" s="342"/>
      <c r="H23" s="342"/>
    </row>
    <row r="24" spans="1:8" ht="17.25" x14ac:dyDescent="0.3">
      <c r="A24" s="341"/>
      <c r="B24" s="341"/>
      <c r="C24" s="341"/>
      <c r="D24" s="341"/>
      <c r="E24" s="341"/>
      <c r="F24" s="341"/>
      <c r="G24" s="342"/>
      <c r="H24" s="342"/>
    </row>
    <row r="25" spans="1:8" ht="17.25" x14ac:dyDescent="0.3">
      <c r="A25" s="341"/>
      <c r="B25" s="341"/>
      <c r="C25" s="341"/>
      <c r="D25" s="341"/>
      <c r="E25" s="341"/>
      <c r="F25" s="341"/>
      <c r="G25" s="342"/>
      <c r="H25" s="342"/>
    </row>
    <row r="26" spans="1:8" ht="17.25" x14ac:dyDescent="0.3">
      <c r="A26" s="341"/>
      <c r="B26" s="341"/>
      <c r="C26" s="341"/>
      <c r="D26" s="341"/>
      <c r="E26" s="341"/>
      <c r="F26" s="341"/>
      <c r="G26" s="342"/>
      <c r="H26" s="342"/>
    </row>
    <row r="27" spans="1:8" ht="17.25" x14ac:dyDescent="0.3">
      <c r="A27" s="341"/>
      <c r="B27" s="341"/>
      <c r="C27" s="341"/>
      <c r="D27" s="341"/>
      <c r="E27" s="341"/>
      <c r="F27" s="341"/>
      <c r="G27" s="342"/>
      <c r="H27" s="342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21"/>
  <sheetViews>
    <sheetView topLeftCell="A13" zoomScaleNormal="100" workbookViewId="0">
      <selection activeCell="G6" sqref="G6:G17"/>
    </sheetView>
  </sheetViews>
  <sheetFormatPr defaultColWidth="9.140625" defaultRowHeight="13.5" x14ac:dyDescent="0.25"/>
  <cols>
    <col min="1" max="1" width="46.42578125" style="227" customWidth="1"/>
    <col min="2" max="2" width="51.5703125" style="227" customWidth="1"/>
    <col min="3" max="3" width="36.42578125" style="227" customWidth="1"/>
    <col min="4" max="4" width="20.28515625" style="227" customWidth="1"/>
    <col min="5" max="5" width="44.85546875" style="227" customWidth="1"/>
    <col min="6" max="6" width="21.7109375" style="227" customWidth="1"/>
    <col min="7" max="7" width="20.28515625" style="227" customWidth="1"/>
    <col min="8" max="8" width="20.85546875" style="228" customWidth="1"/>
    <col min="9" max="10" width="12.7109375" style="228" customWidth="1"/>
    <col min="11" max="16" width="9.140625" style="228"/>
    <col min="17" max="16384" width="9.140625" style="227"/>
  </cols>
  <sheetData>
    <row r="1" spans="1:16" ht="9" customHeight="1" x14ac:dyDescent="0.25"/>
    <row r="2" spans="1:16" s="229" customFormat="1" ht="17.25" customHeight="1" x14ac:dyDescent="0.25">
      <c r="A2" s="617" t="s">
        <v>379</v>
      </c>
      <c r="B2" s="617"/>
      <c r="C2" s="618" t="s">
        <v>380</v>
      </c>
      <c r="D2" s="618"/>
      <c r="E2" s="618" t="s">
        <v>381</v>
      </c>
      <c r="F2" s="618"/>
      <c r="I2" s="230"/>
      <c r="J2" s="230"/>
      <c r="K2" s="230"/>
      <c r="L2" s="230"/>
      <c r="M2" s="230"/>
      <c r="N2" s="230"/>
      <c r="O2" s="230"/>
      <c r="P2" s="230"/>
    </row>
    <row r="3" spans="1:16" ht="15" thickBot="1" x14ac:dyDescent="0.3">
      <c r="H3" s="336" t="s">
        <v>538</v>
      </c>
    </row>
    <row r="4" spans="1:16" s="234" customFormat="1" ht="22.5" customHeight="1" x14ac:dyDescent="0.25">
      <c r="A4" s="619" t="s">
        <v>382</v>
      </c>
      <c r="B4" s="620"/>
      <c r="C4" s="620" t="s">
        <v>383</v>
      </c>
      <c r="D4" s="620"/>
      <c r="E4" s="620" t="s">
        <v>384</v>
      </c>
      <c r="F4" s="620"/>
      <c r="G4" s="231">
        <f>SUM(G6:G17)</f>
        <v>7306732148</v>
      </c>
      <c r="H4" s="232">
        <f>SUM(H6:H17)</f>
        <v>6806732147</v>
      </c>
      <c r="I4" s="233"/>
      <c r="J4" s="233"/>
      <c r="K4" s="233"/>
      <c r="L4" s="233"/>
      <c r="M4" s="233"/>
      <c r="N4" s="233"/>
      <c r="O4" s="233"/>
      <c r="P4" s="233"/>
    </row>
    <row r="5" spans="1:16" s="234" customFormat="1" ht="112.5" customHeight="1" x14ac:dyDescent="0.25">
      <c r="A5" s="615" t="s">
        <v>385</v>
      </c>
      <c r="B5" s="616"/>
      <c r="C5" s="616" t="s">
        <v>386</v>
      </c>
      <c r="D5" s="616"/>
      <c r="E5" s="616" t="s">
        <v>387</v>
      </c>
      <c r="F5" s="616"/>
      <c r="G5" s="235" t="s">
        <v>423</v>
      </c>
      <c r="H5" s="236" t="s">
        <v>424</v>
      </c>
      <c r="I5" s="233"/>
      <c r="J5" s="233"/>
      <c r="K5" s="233"/>
      <c r="L5" s="233"/>
      <c r="M5" s="233"/>
      <c r="N5" s="233"/>
      <c r="O5" s="233"/>
      <c r="P5" s="233"/>
    </row>
    <row r="6" spans="1:16" ht="43.5" customHeight="1" x14ac:dyDescent="0.25">
      <c r="A6" s="237" t="s">
        <v>365</v>
      </c>
      <c r="B6" s="238" t="s">
        <v>364</v>
      </c>
      <c r="C6" s="238" t="s">
        <v>404</v>
      </c>
      <c r="D6" s="238" t="s">
        <v>405</v>
      </c>
      <c r="E6" s="238" t="s">
        <v>406</v>
      </c>
      <c r="F6" s="238" t="s">
        <v>407</v>
      </c>
      <c r="G6" s="239">
        <v>500000000</v>
      </c>
      <c r="H6" s="235">
        <v>0</v>
      </c>
    </row>
    <row r="7" spans="1:16" ht="50.25" customHeight="1" x14ac:dyDescent="0.25">
      <c r="A7" s="237" t="s">
        <v>371</v>
      </c>
      <c r="B7" s="238" t="s">
        <v>364</v>
      </c>
      <c r="C7" s="238" t="s">
        <v>402</v>
      </c>
      <c r="D7" s="238" t="s">
        <v>405</v>
      </c>
      <c r="E7" s="238" t="s">
        <v>403</v>
      </c>
      <c r="F7" s="238" t="s">
        <v>407</v>
      </c>
      <c r="G7" s="239">
        <v>1248200000</v>
      </c>
      <c r="H7" s="235">
        <v>1248200000</v>
      </c>
    </row>
    <row r="8" spans="1:16" ht="30.75" customHeight="1" x14ac:dyDescent="0.25">
      <c r="A8" s="237" t="s">
        <v>372</v>
      </c>
      <c r="B8" s="238" t="s">
        <v>275</v>
      </c>
      <c r="C8" s="238" t="s">
        <v>393</v>
      </c>
      <c r="D8" s="238" t="s">
        <v>390</v>
      </c>
      <c r="E8" s="238" t="s">
        <v>394</v>
      </c>
      <c r="F8" s="238" t="s">
        <v>392</v>
      </c>
      <c r="G8" s="239">
        <v>139373675</v>
      </c>
      <c r="H8" s="235">
        <v>139373675</v>
      </c>
    </row>
    <row r="9" spans="1:16" ht="27.75" customHeight="1" x14ac:dyDescent="0.25">
      <c r="A9" s="237" t="s">
        <v>373</v>
      </c>
      <c r="B9" s="238" t="s">
        <v>375</v>
      </c>
      <c r="C9" s="238" t="s">
        <v>410</v>
      </c>
      <c r="D9" s="238" t="s">
        <v>411</v>
      </c>
      <c r="E9" s="238" t="s">
        <v>412</v>
      </c>
      <c r="F9" s="238" t="s">
        <v>413</v>
      </c>
      <c r="G9" s="239">
        <v>900000000</v>
      </c>
      <c r="H9" s="235">
        <v>900000000</v>
      </c>
    </row>
    <row r="10" spans="1:16" ht="38.25" customHeight="1" x14ac:dyDescent="0.25">
      <c r="A10" s="237" t="s">
        <v>374</v>
      </c>
      <c r="B10" s="238" t="s">
        <v>376</v>
      </c>
      <c r="C10" s="238" t="s">
        <v>408</v>
      </c>
      <c r="D10" s="238" t="s">
        <v>414</v>
      </c>
      <c r="E10" s="238" t="s">
        <v>409</v>
      </c>
      <c r="F10" s="238" t="s">
        <v>415</v>
      </c>
      <c r="G10" s="239">
        <v>250000000</v>
      </c>
      <c r="H10" s="235">
        <v>250000000</v>
      </c>
    </row>
    <row r="11" spans="1:16" ht="38.25" customHeight="1" x14ac:dyDescent="0.25">
      <c r="A11" s="237" t="s">
        <v>395</v>
      </c>
      <c r="B11" s="238" t="s">
        <v>275</v>
      </c>
      <c r="C11" s="238" t="s">
        <v>396</v>
      </c>
      <c r="D11" s="238" t="s">
        <v>390</v>
      </c>
      <c r="E11" s="238" t="s">
        <v>397</v>
      </c>
      <c r="F11" s="238" t="s">
        <v>392</v>
      </c>
      <c r="G11" s="239">
        <v>218138000</v>
      </c>
      <c r="H11" s="235">
        <v>218138000</v>
      </c>
      <c r="I11" s="240"/>
      <c r="J11" s="240"/>
    </row>
    <row r="12" spans="1:16" ht="38.25" customHeight="1" x14ac:dyDescent="0.25">
      <c r="A12" s="237" t="s">
        <v>388</v>
      </c>
      <c r="B12" s="238" t="s">
        <v>275</v>
      </c>
      <c r="C12" s="238" t="s">
        <v>389</v>
      </c>
      <c r="D12" s="238" t="s">
        <v>390</v>
      </c>
      <c r="E12" s="238" t="s">
        <v>391</v>
      </c>
      <c r="F12" s="238" t="s">
        <v>392</v>
      </c>
      <c r="G12" s="239">
        <v>692955973</v>
      </c>
      <c r="H12" s="235">
        <v>692955972</v>
      </c>
      <c r="I12" s="240"/>
      <c r="J12" s="240"/>
    </row>
    <row r="13" spans="1:16" ht="38.25" customHeight="1" x14ac:dyDescent="0.25">
      <c r="A13" s="237" t="s">
        <v>421</v>
      </c>
      <c r="B13" s="238" t="s">
        <v>275</v>
      </c>
      <c r="C13" s="238" t="s">
        <v>398</v>
      </c>
      <c r="D13" s="238" t="s">
        <v>390</v>
      </c>
      <c r="E13" s="238" t="s">
        <v>399</v>
      </c>
      <c r="F13" s="238" t="s">
        <v>392</v>
      </c>
      <c r="G13" s="239">
        <v>674283500</v>
      </c>
      <c r="H13" s="235">
        <v>674283500</v>
      </c>
      <c r="I13" s="240"/>
      <c r="J13" s="240"/>
    </row>
    <row r="14" spans="1:16" ht="38.25" customHeight="1" x14ac:dyDescent="0.25">
      <c r="A14" s="241" t="s">
        <v>365</v>
      </c>
      <c r="B14" s="242" t="s">
        <v>364</v>
      </c>
      <c r="C14" s="242" t="s">
        <v>404</v>
      </c>
      <c r="D14" s="242" t="s">
        <v>405</v>
      </c>
      <c r="E14" s="242" t="s">
        <v>406</v>
      </c>
      <c r="F14" s="242" t="s">
        <v>407</v>
      </c>
      <c r="G14" s="243">
        <v>750000000</v>
      </c>
      <c r="H14" s="235">
        <v>750000000</v>
      </c>
      <c r="I14" s="240"/>
      <c r="J14" s="240"/>
    </row>
    <row r="15" spans="1:16" s="244" customFormat="1" ht="114.75" customHeight="1" x14ac:dyDescent="0.3">
      <c r="A15" s="241" t="s">
        <v>449</v>
      </c>
      <c r="B15" s="242" t="s">
        <v>282</v>
      </c>
      <c r="C15" s="242" t="s">
        <v>404</v>
      </c>
      <c r="D15" s="242" t="s">
        <v>400</v>
      </c>
      <c r="E15" s="242" t="s">
        <v>406</v>
      </c>
      <c r="F15" s="238" t="s">
        <v>401</v>
      </c>
      <c r="G15" s="243">
        <v>150000000</v>
      </c>
      <c r="H15" s="235">
        <v>150000000</v>
      </c>
    </row>
    <row r="16" spans="1:16" s="244" customFormat="1" ht="114.75" customHeight="1" x14ac:dyDescent="0.3">
      <c r="A16" s="241" t="s">
        <v>450</v>
      </c>
      <c r="B16" s="238" t="s">
        <v>275</v>
      </c>
      <c r="C16" s="238" t="s">
        <v>402</v>
      </c>
      <c r="D16" s="238" t="s">
        <v>390</v>
      </c>
      <c r="E16" s="238" t="s">
        <v>403</v>
      </c>
      <c r="F16" s="238" t="s">
        <v>392</v>
      </c>
      <c r="G16" s="243">
        <v>500000000</v>
      </c>
      <c r="H16" s="235">
        <v>500000000</v>
      </c>
    </row>
    <row r="17" spans="1:8" s="244" customFormat="1" ht="114.75" customHeight="1" x14ac:dyDescent="0.3">
      <c r="A17" s="241" t="s">
        <v>451</v>
      </c>
      <c r="B17" s="238" t="s">
        <v>275</v>
      </c>
      <c r="C17" s="238" t="s">
        <v>398</v>
      </c>
      <c r="D17" s="238" t="s">
        <v>390</v>
      </c>
      <c r="E17" s="238" t="s">
        <v>399</v>
      </c>
      <c r="F17" s="238" t="s">
        <v>392</v>
      </c>
      <c r="G17" s="243">
        <v>1283781000</v>
      </c>
      <c r="H17" s="235">
        <v>1283781000</v>
      </c>
    </row>
    <row r="18" spans="1:8" ht="73.5" customHeight="1" thickBot="1" x14ac:dyDescent="0.3">
      <c r="A18" s="613" t="s">
        <v>416</v>
      </c>
      <c r="B18" s="614"/>
      <c r="C18" s="614" t="s">
        <v>417</v>
      </c>
      <c r="D18" s="614"/>
      <c r="E18" s="614" t="s">
        <v>418</v>
      </c>
      <c r="F18" s="614"/>
      <c r="G18" s="245"/>
      <c r="H18" s="246"/>
    </row>
    <row r="19" spans="1:8" ht="35.1" customHeight="1" x14ac:dyDescent="0.25"/>
    <row r="20" spans="1:8" ht="27.75" customHeight="1" x14ac:dyDescent="0.25"/>
    <row r="21" spans="1:8" ht="54.75" customHeight="1" x14ac:dyDescent="0.25"/>
  </sheetData>
  <mergeCells count="12">
    <mergeCell ref="A2:B2"/>
    <mergeCell ref="C2:D2"/>
    <mergeCell ref="E2:F2"/>
    <mergeCell ref="A4:B4"/>
    <mergeCell ref="C4:D4"/>
    <mergeCell ref="E4:F4"/>
    <mergeCell ref="A18:B18"/>
    <mergeCell ref="C18:D18"/>
    <mergeCell ref="E18:F18"/>
    <mergeCell ref="A5:B5"/>
    <mergeCell ref="C5:D5"/>
    <mergeCell ref="E5:F5"/>
  </mergeCells>
  <printOptions horizontalCentered="1"/>
  <pageMargins left="0.5" right="0.5" top="0.25" bottom="0.25" header="7.0000000000000007E-2" footer="0.16"/>
  <pageSetup paperSize="9" scale="40" orientation="landscape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lastModifiedBy>Lusine Grigoryan</cp:lastModifiedBy>
  <cp:lastPrinted>2023-08-01T13:36:12Z</cp:lastPrinted>
  <dcterms:created xsi:type="dcterms:W3CDTF">2021-02-19T11:33:22Z</dcterms:created>
  <dcterms:modified xsi:type="dcterms:W3CDTF">2024-11-15T07:09:22Z</dcterms:modified>
  <cp:keywords>https://mul2-minfin.gov.am/tasks/910872/oneclick?token=194441e72e2fbe5116b5319531eb91a4</cp:keywords>
</cp:coreProperties>
</file>